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0185" yWindow="180" windowWidth="10695" windowHeight="10080" tabRatio="839"/>
  </bookViews>
  <sheets>
    <sheet name="Главная" sheetId="4" r:id="rId1"/>
    <sheet name="п.п. 11 а" sheetId="5" r:id="rId2"/>
    <sheet name="п.п. 11 а (2)" sheetId="6" r:id="rId3"/>
    <sheet name="п.п. 11 Б-1" sheetId="7" r:id="rId4"/>
    <sheet name="п.п. 11 Б-2" sheetId="8" r:id="rId5"/>
    <sheet name="п.п. 11 Б-3" sheetId="9" r:id="rId6"/>
    <sheet name="п.п. 11 Б-4" sheetId="10" r:id="rId7"/>
    <sheet name="п.п. 11 Б-5" sheetId="11" r:id="rId8"/>
    <sheet name="п.п. 11 Б-6" sheetId="12" r:id="rId9"/>
    <sheet name="п.п. 11 Б-7" sheetId="13" r:id="rId10"/>
    <sheet name="п.п.11 Б-9" sheetId="14" r:id="rId11"/>
    <sheet name="п.п. 11 Б 10-11" sheetId="45" r:id="rId12"/>
    <sheet name="п.п. 11 Б-12" sheetId="16" r:id="rId13"/>
    <sheet name="п.п. 11 Б-13" sheetId="18" r:id="rId14"/>
    <sheet name="п.п. 11 Б-14" sheetId="19" r:id="rId15"/>
    <sheet name="п.п. 11 В-1" sheetId="20" r:id="rId16"/>
    <sheet name="п.п. 11 В (1)" sheetId="24" r:id="rId17"/>
    <sheet name="п.п. 11 В-2 " sheetId="21" r:id="rId18"/>
    <sheet name="п.п. 11 В-3" sheetId="22" r:id="rId19"/>
    <sheet name="п.п. 11 В-4" sheetId="23" r:id="rId20"/>
    <sheet name="п.п. 11 Г" sheetId="25" r:id="rId21"/>
    <sheet name="п.п. 11 Е" sheetId="26" r:id="rId22"/>
    <sheet name="п.п. 11 Ж" sheetId="27" r:id="rId23"/>
    <sheet name="п.п. 11 Ж-1" sheetId="28" r:id="rId24"/>
    <sheet name="п.п. 11 З-2" sheetId="29" r:id="rId25"/>
    <sheet name="п.п. 11 и" sheetId="30" r:id="rId26"/>
    <sheet name="п.п. 11 к" sheetId="31" r:id="rId27"/>
    <sheet name="п.п. 11 л 1" sheetId="32" r:id="rId28"/>
    <sheet name="п.п. 11л 2" sheetId="38" r:id="rId29"/>
    <sheet name="п.п. 11 к 3" sheetId="40" r:id="rId30"/>
    <sheet name="п.п. 11 л 4" sheetId="41" r:id="rId31"/>
    <sheet name="п.п. 11 л 5" sheetId="42" r:id="rId32"/>
    <sheet name="п.п. 11 м" sheetId="34" r:id="rId33"/>
    <sheet name="п.п. 9 Б-1" sheetId="33" r:id="rId34"/>
    <sheet name="п. 9 В" sheetId="35" r:id="rId35"/>
    <sheet name="п. 9 В-1" sheetId="36" r:id="rId36"/>
    <sheet name="п. 9 Г (1,2)" sheetId="43" r:id="rId37"/>
    <sheet name="п. 9 Г (5)" sheetId="44" r:id="rId38"/>
    <sheet name="п. 9 Г стар" sheetId="37" r:id="rId39"/>
    <sheet name="Лист1" sheetId="1" r:id="rId40"/>
    <sheet name="Лист2" sheetId="2" r:id="rId41"/>
    <sheet name="Лист3" sheetId="3" r:id="rId42"/>
  </sheets>
  <externalReferences>
    <externalReference r:id="rId43"/>
    <externalReference r:id="rId44"/>
  </externalReferences>
  <definedNames>
    <definedName name="_Par142" localSheetId="29">'п.п. 11 к 3'!$A$86</definedName>
    <definedName name="_Par143" localSheetId="29">'п.п. 11 к 3'!$A$88</definedName>
    <definedName name="_Par1529" localSheetId="29">'п.п. 11 к 3'!#REF!</definedName>
    <definedName name="_Par1531" localSheetId="29">'п.п. 11 к 3'!#REF!</definedName>
    <definedName name="_Par1740" localSheetId="29">'п.п. 11 к 3'!#REF!</definedName>
    <definedName name="_Par1782" localSheetId="29">'п.п. 11 к 3'!#REF!</definedName>
    <definedName name="_Par1794" localSheetId="29">'п.п. 11 к 3'!#REF!</definedName>
    <definedName name="_Par1806" localSheetId="29">'п.п. 11 к 3'!#REF!</definedName>
    <definedName name="_Par1818" localSheetId="29">'п.п. 11 к 3'!#REF!</definedName>
    <definedName name="_Par1842" localSheetId="29">'п.п. 11 к 3'!#REF!</definedName>
    <definedName name="_Par1912" localSheetId="29">'п.п. 11 к 3'!#REF!</definedName>
    <definedName name="_Par2473" localSheetId="11">'п.п. 11 Б 10-11'!$A$33</definedName>
    <definedName name="_Par2474" localSheetId="11">'п.п. 11 Б 10-11'!#REF!</definedName>
    <definedName name="_Par2475" localSheetId="11">'п.п. 11 Б 10-11'!#REF!</definedName>
    <definedName name="_Par2476" localSheetId="11">'п.п. 11 Б 10-11'!$A$34</definedName>
    <definedName name="_Par2477" localSheetId="11">'п.п. 11 Б 10-11'!#REF!</definedName>
    <definedName name="_Par2520" localSheetId="30">'п.п. 11 л 4'!$A$7</definedName>
    <definedName name="_Par744" localSheetId="29">'п.п. 11 к 3'!$G$17</definedName>
    <definedName name="_Par786" localSheetId="29">'п.п. 11 к 3'!$G$24</definedName>
    <definedName name="_Par798" localSheetId="29">'п.п. 11 к 3'!$G$26</definedName>
    <definedName name="_Par822" localSheetId="29">'п.п. 11 к 3'!$G$30</definedName>
    <definedName name="_Toc144626115" localSheetId="25">'п.п. 11 и'!#REF!</definedName>
    <definedName name="_Toc144626115" localSheetId="26">'п.п. 11 к'!#REF!</definedName>
    <definedName name="_Toc238884282" localSheetId="25">'п.п. 11 и'!#REF!</definedName>
    <definedName name="_Toc238884282" localSheetId="26">'п.п. 11 к'!#REF!</definedName>
    <definedName name="_Toc249153728" localSheetId="25">'п.п. 11 и'!#REF!</definedName>
    <definedName name="_Toc249153728" localSheetId="26">'п.п. 11 к'!#REF!</definedName>
    <definedName name="_Toc249153729" localSheetId="25">'п.п. 11 и'!#REF!</definedName>
    <definedName name="_Toc249153729" localSheetId="26">'п.п. 11 к'!#REF!</definedName>
    <definedName name="_Toc249153730" localSheetId="25">'п.п. 11 и'!#REF!</definedName>
    <definedName name="_Toc249153730" localSheetId="26">'п.п. 11 к'!#REF!</definedName>
    <definedName name="_Toc249153731" localSheetId="25">'п.п. 11 и'!#REF!</definedName>
    <definedName name="_Toc249153731" localSheetId="26">'п.п. 11 к'!#REF!</definedName>
    <definedName name="_Toc249153732" localSheetId="25">'п.п. 11 и'!#REF!</definedName>
    <definedName name="_Toc249153732" localSheetId="26">'п.п. 11 к'!#REF!</definedName>
    <definedName name="_Toc249153733" localSheetId="25">'п.п. 11 и'!#REF!</definedName>
    <definedName name="_Toc249153733" localSheetId="26">'п.п. 11 к'!#REF!</definedName>
    <definedName name="_xlnm._FilterDatabase" localSheetId="17" hidden="1">'п.п. 11 В-2 '!$A$8:$AD$115</definedName>
    <definedName name="anscount" hidden="1">1</definedName>
    <definedName name="block2_0">#N/A</definedName>
    <definedName name="block2_6">#N/A</definedName>
    <definedName name="block2_7">#N/A</definedName>
    <definedName name="block2_8">#N/A</definedName>
    <definedName name="Check_Range1_1">#N/A</definedName>
    <definedName name="Check_Range2_1">#N/A</definedName>
    <definedName name="DYNAMIC_RANGE_COLUMN_MARKER">#N/A</definedName>
    <definedName name="god">[1]Титульный!$F$13</definedName>
    <definedName name="kvartal">'[2]15 ЭЭ (2)'!$F$15</definedName>
    <definedName name="org" localSheetId="0">'[2]15 ЭЭ (2)'!$F$17</definedName>
    <definedName name="org">[1]Титульный!$F$17</definedName>
    <definedName name="otchet_god">'[2]15 ЭЭ (2)'!$F$14</definedName>
    <definedName name="SCOPE_16_PRT" localSheetId="34">P1_SCOPE_16_PRT,P2_SCOPE_16_PRT</definedName>
    <definedName name="SCOPE_16_PRT" localSheetId="35">P1_SCOPE_16_PRT,P2_SCOPE_16_PRT</definedName>
    <definedName name="SCOPE_16_PRT" localSheetId="36">P1_SCOPE_16_PRT,P2_SCOPE_16_PRT</definedName>
    <definedName name="SCOPE_16_PRT" localSheetId="37">P1_SCOPE_16_PRT,P2_SCOPE_16_PRT</definedName>
    <definedName name="SCOPE_16_PRT" localSheetId="38">P1_SCOPE_16_PRT,P2_SCOPE_16_PRT</definedName>
    <definedName name="SCOPE_16_PRT" localSheetId="12">P1_SCOPE_16_PRT,P2_SCOPE_16_PRT</definedName>
    <definedName name="SCOPE_16_PRT" localSheetId="13">P1_SCOPE_16_PRT,P2_SCOPE_16_PRT</definedName>
    <definedName name="SCOPE_16_PRT" localSheetId="14">P1_SCOPE_16_PRT,P2_SCOPE_16_PRT</definedName>
    <definedName name="SCOPE_16_PRT" localSheetId="16">P1_SCOPE_16_PRT,P2_SCOPE_16_PRT</definedName>
    <definedName name="SCOPE_16_PRT" localSheetId="15">P1_SCOPE_16_PRT,P2_SCOPE_16_PRT</definedName>
    <definedName name="SCOPE_16_PRT" localSheetId="17">P1_SCOPE_16_PRT,P2_SCOPE_16_PRT</definedName>
    <definedName name="SCOPE_16_PRT" localSheetId="18">P1_SCOPE_16_PRT,P2_SCOPE_16_PRT</definedName>
    <definedName name="SCOPE_16_PRT" localSheetId="19">P1_SCOPE_16_PRT,P2_SCOPE_16_PRT</definedName>
    <definedName name="SCOPE_16_PRT" localSheetId="20">P1_SCOPE_16_PRT,P2_SCOPE_16_PRT</definedName>
    <definedName name="SCOPE_16_PRT" localSheetId="21">P1_SCOPE_16_PRT,P2_SCOPE_16_PRT</definedName>
    <definedName name="SCOPE_16_PRT" localSheetId="22">P1_SCOPE_16_PRT,P2_SCOPE_16_PRT</definedName>
    <definedName name="SCOPE_16_PRT" localSheetId="23">P1_SCOPE_16_PRT,P2_SCOPE_16_PRT</definedName>
    <definedName name="SCOPE_16_PRT" localSheetId="24">P1_SCOPE_16_PRT,P2_SCOPE_16_PRT</definedName>
    <definedName name="SCOPE_16_PRT" localSheetId="25">P1_SCOPE_16_PRT,P2_SCOPE_16_PRT</definedName>
    <definedName name="SCOPE_16_PRT" localSheetId="26">P1_SCOPE_16_PRT,P2_SCOPE_16_PRT</definedName>
    <definedName name="SCOPE_16_PRT" localSheetId="29">P1_SCOPE_16_PRT,P2_SCOPE_16_PRT</definedName>
    <definedName name="SCOPE_16_PRT" localSheetId="27">P1_SCOPE_16_PRT,P2_SCOPE_16_PRT</definedName>
    <definedName name="SCOPE_16_PRT" localSheetId="30">P1_SCOPE_16_PRT,P2_SCOPE_16_PRT</definedName>
    <definedName name="SCOPE_16_PRT" localSheetId="31">P1_SCOPE_16_PRT,P2_SCOPE_16_PRT</definedName>
    <definedName name="SCOPE_16_PRT" localSheetId="32">P1_SCOPE_16_PRT,P2_SCOPE_16_PRT</definedName>
    <definedName name="SCOPE_16_PRT" localSheetId="28">P1_SCOPE_16_PRT,P2_SCOPE_16_PRT</definedName>
    <definedName name="SCOPE_16_PRT" localSheetId="33">P1_SCOPE_16_PRT,P2_SCOPE_16_PRT</definedName>
    <definedName name="SCOPE_16_PRT" localSheetId="10">P1_SCOPE_16_PRT,P2_SCOPE_16_PRT</definedName>
    <definedName name="SCOPE_16_PRT">P1_SCOPE_16_PRT,P2_SCOPE_16_PRT</definedName>
    <definedName name="Scope_17_PRT" localSheetId="34">P1_SCOPE_16_PRT,P2_SCOPE_16_PRT</definedName>
    <definedName name="Scope_17_PRT" localSheetId="35">P1_SCOPE_16_PRT,P2_SCOPE_16_PRT</definedName>
    <definedName name="Scope_17_PRT" localSheetId="36">P1_SCOPE_16_PRT,P2_SCOPE_16_PRT</definedName>
    <definedName name="Scope_17_PRT" localSheetId="37">P1_SCOPE_16_PRT,P2_SCOPE_16_PRT</definedName>
    <definedName name="Scope_17_PRT" localSheetId="38">P1_SCOPE_16_PRT,P2_SCOPE_16_PRT</definedName>
    <definedName name="Scope_17_PRT" localSheetId="12">P1_SCOPE_16_PRT,P2_SCOPE_16_PRT</definedName>
    <definedName name="Scope_17_PRT" localSheetId="13">P1_SCOPE_16_PRT,P2_SCOPE_16_PRT</definedName>
    <definedName name="Scope_17_PRT" localSheetId="14">P1_SCOPE_16_PRT,P2_SCOPE_16_PRT</definedName>
    <definedName name="Scope_17_PRT" localSheetId="16">P1_SCOPE_16_PRT,P2_SCOPE_16_PRT</definedName>
    <definedName name="Scope_17_PRT" localSheetId="15">P1_SCOPE_16_PRT,P2_SCOPE_16_PRT</definedName>
    <definedName name="Scope_17_PRT" localSheetId="17">P1_SCOPE_16_PRT,P2_SCOPE_16_PRT</definedName>
    <definedName name="Scope_17_PRT" localSheetId="18">P1_SCOPE_16_PRT,P2_SCOPE_16_PRT</definedName>
    <definedName name="Scope_17_PRT" localSheetId="19">P1_SCOPE_16_PRT,P2_SCOPE_16_PRT</definedName>
    <definedName name="Scope_17_PRT" localSheetId="20">P1_SCOPE_16_PRT,P2_SCOPE_16_PRT</definedName>
    <definedName name="Scope_17_PRT" localSheetId="21">P1_SCOPE_16_PRT,P2_SCOPE_16_PRT</definedName>
    <definedName name="Scope_17_PRT" localSheetId="22">P1_SCOPE_16_PRT,P2_SCOPE_16_PRT</definedName>
    <definedName name="Scope_17_PRT" localSheetId="23">P1_SCOPE_16_PRT,P2_SCOPE_16_PRT</definedName>
    <definedName name="Scope_17_PRT" localSheetId="24">P1_SCOPE_16_PRT,P2_SCOPE_16_PRT</definedName>
    <definedName name="Scope_17_PRT" localSheetId="25">P1_SCOPE_16_PRT,P2_SCOPE_16_PRT</definedName>
    <definedName name="Scope_17_PRT" localSheetId="26">P1_SCOPE_16_PRT,P2_SCOPE_16_PRT</definedName>
    <definedName name="Scope_17_PRT" localSheetId="29">P1_SCOPE_16_PRT,P2_SCOPE_16_PRT</definedName>
    <definedName name="Scope_17_PRT" localSheetId="27">P1_SCOPE_16_PRT,P2_SCOPE_16_PRT</definedName>
    <definedName name="Scope_17_PRT" localSheetId="30">P1_SCOPE_16_PRT,P2_SCOPE_16_PRT</definedName>
    <definedName name="Scope_17_PRT" localSheetId="31">P1_SCOPE_16_PRT,P2_SCOPE_16_PRT</definedName>
    <definedName name="Scope_17_PRT" localSheetId="32">P1_SCOPE_16_PRT,P2_SCOPE_16_PRT</definedName>
    <definedName name="Scope_17_PRT" localSheetId="28">P1_SCOPE_16_PRT,P2_SCOPE_16_PRT</definedName>
    <definedName name="Scope_17_PRT" localSheetId="33">P1_SCOPE_16_PRT,P2_SCOPE_16_PRT</definedName>
    <definedName name="Scope_17_PRT" localSheetId="10">P1_SCOPE_16_PRT,P2_SCOPE_16_PRT</definedName>
    <definedName name="Scope_17_PRT">P1_SCOPE_16_PRT,P2_SCOPE_16_PRT</definedName>
    <definedName name="SCOPE_PER_PRT" localSheetId="34">P5_SCOPE_PER_PRT,P6_SCOPE_PER_PRT,P7_SCOPE_PER_PRT,P8_SCOPE_PER_PRT</definedName>
    <definedName name="SCOPE_PER_PRT" localSheetId="35">P5_SCOPE_PER_PRT,P6_SCOPE_PER_PRT,P7_SCOPE_PER_PRT,P8_SCOPE_PER_PRT</definedName>
    <definedName name="SCOPE_PER_PRT" localSheetId="36">P5_SCOPE_PER_PRT,P6_SCOPE_PER_PRT,P7_SCOPE_PER_PRT,P8_SCOPE_PER_PRT</definedName>
    <definedName name="SCOPE_PER_PRT" localSheetId="37">P5_SCOPE_PER_PRT,P6_SCOPE_PER_PRT,P7_SCOPE_PER_PRT,P8_SCOPE_PER_PRT</definedName>
    <definedName name="SCOPE_PER_PRT" localSheetId="38">P5_SCOPE_PER_PRT,P6_SCOPE_PER_PRT,P7_SCOPE_PER_PRT,P8_SCOPE_PER_PRT</definedName>
    <definedName name="SCOPE_PER_PRT" localSheetId="12">P5_SCOPE_PER_PRT,P6_SCOPE_PER_PRT,P7_SCOPE_PER_PRT,P8_SCOPE_PER_PRT</definedName>
    <definedName name="SCOPE_PER_PRT" localSheetId="13">P5_SCOPE_PER_PRT,P6_SCOPE_PER_PRT,P7_SCOPE_PER_PRT,P8_SCOPE_PER_PRT</definedName>
    <definedName name="SCOPE_PER_PRT" localSheetId="14">P5_SCOPE_PER_PRT,P6_SCOPE_PER_PRT,P7_SCOPE_PER_PRT,P8_SCOPE_PER_PRT</definedName>
    <definedName name="SCOPE_PER_PRT" localSheetId="16">P5_SCOPE_PER_PRT,P6_SCOPE_PER_PRT,P7_SCOPE_PER_PRT,P8_SCOPE_PER_PRT</definedName>
    <definedName name="SCOPE_PER_PRT" localSheetId="15">P5_SCOPE_PER_PRT,P6_SCOPE_PER_PRT,P7_SCOPE_PER_PRT,P8_SCOPE_PER_PRT</definedName>
    <definedName name="SCOPE_PER_PRT" localSheetId="17">P5_SCOPE_PER_PRT,P6_SCOPE_PER_PRT,P7_SCOPE_PER_PRT,P8_SCOPE_PER_PRT</definedName>
    <definedName name="SCOPE_PER_PRT" localSheetId="18">P5_SCOPE_PER_PRT,P6_SCOPE_PER_PRT,P7_SCOPE_PER_PRT,P8_SCOPE_PER_PRT</definedName>
    <definedName name="SCOPE_PER_PRT" localSheetId="19">P5_SCOPE_PER_PRT,P6_SCOPE_PER_PRT,P7_SCOPE_PER_PRT,P8_SCOPE_PER_PRT</definedName>
    <definedName name="SCOPE_PER_PRT" localSheetId="20">P5_SCOPE_PER_PRT,P6_SCOPE_PER_PRT,P7_SCOPE_PER_PRT,P8_SCOPE_PER_PRT</definedName>
    <definedName name="SCOPE_PER_PRT" localSheetId="21">P5_SCOPE_PER_PRT,P6_SCOPE_PER_PRT,P7_SCOPE_PER_PRT,P8_SCOPE_PER_PRT</definedName>
    <definedName name="SCOPE_PER_PRT" localSheetId="22">P5_SCOPE_PER_PRT,P6_SCOPE_PER_PRT,P7_SCOPE_PER_PRT,P8_SCOPE_PER_PRT</definedName>
    <definedName name="SCOPE_PER_PRT" localSheetId="23">P5_SCOPE_PER_PRT,P6_SCOPE_PER_PRT,P7_SCOPE_PER_PRT,P8_SCOPE_PER_PRT</definedName>
    <definedName name="SCOPE_PER_PRT" localSheetId="24">P5_SCOPE_PER_PRT,P6_SCOPE_PER_PRT,P7_SCOPE_PER_PRT,P8_SCOPE_PER_PRT</definedName>
    <definedName name="SCOPE_PER_PRT" localSheetId="25">P5_SCOPE_PER_PRT,P6_SCOPE_PER_PRT,P7_SCOPE_PER_PRT,P8_SCOPE_PER_PRT</definedName>
    <definedName name="SCOPE_PER_PRT" localSheetId="26">P5_SCOPE_PER_PRT,P6_SCOPE_PER_PRT,P7_SCOPE_PER_PRT,P8_SCOPE_PER_PRT</definedName>
    <definedName name="SCOPE_PER_PRT" localSheetId="29">P5_SCOPE_PER_PRT,P6_SCOPE_PER_PRT,P7_SCOPE_PER_PRT,P8_SCOPE_PER_PRT</definedName>
    <definedName name="SCOPE_PER_PRT" localSheetId="27">P5_SCOPE_PER_PRT,P6_SCOPE_PER_PRT,P7_SCOPE_PER_PRT,P8_SCOPE_PER_PRT</definedName>
    <definedName name="SCOPE_PER_PRT" localSheetId="30">P5_SCOPE_PER_PRT,P6_SCOPE_PER_PRT,P7_SCOPE_PER_PRT,P8_SCOPE_PER_PRT</definedName>
    <definedName name="SCOPE_PER_PRT" localSheetId="31">P5_SCOPE_PER_PRT,P6_SCOPE_PER_PRT,P7_SCOPE_PER_PRT,P8_SCOPE_PER_PRT</definedName>
    <definedName name="SCOPE_PER_PRT" localSheetId="32">P5_SCOPE_PER_PRT,P6_SCOPE_PER_PRT,P7_SCOPE_PER_PRT,P8_SCOPE_PER_PRT</definedName>
    <definedName name="SCOPE_PER_PRT" localSheetId="28">P5_SCOPE_PER_PRT,P6_SCOPE_PER_PRT,P7_SCOPE_PER_PRT,P8_SCOPE_PER_PRT</definedName>
    <definedName name="SCOPE_PER_PRT" localSheetId="33">P5_SCOPE_PER_PRT,P6_SCOPE_PER_PRT,P7_SCOPE_PER_PRT,P8_SCOPE_PER_PRT</definedName>
    <definedName name="SCOPE_PER_PRT" localSheetId="10">P5_SCOPE_PER_PRT,P6_SCOPE_PER_PRT,P7_SCOPE_PER_PRT,P8_SCOPE_PER_PRT</definedName>
    <definedName name="SCOPE_PER_PRT">P5_SCOPE_PER_PRT,P6_SCOPE_PER_PRT,P7_SCOPE_PER_PRT,P8_SCOPE_PER_PRT</definedName>
    <definedName name="SCOPE_SV_PRT" localSheetId="34">P1_SCOPE_SV_PRT,P2_SCOPE_SV_PRT,P3_SCOPE_SV_PRT</definedName>
    <definedName name="SCOPE_SV_PRT" localSheetId="35">P1_SCOPE_SV_PRT,P2_SCOPE_SV_PRT,P3_SCOPE_SV_PRT</definedName>
    <definedName name="SCOPE_SV_PRT" localSheetId="36">P1_SCOPE_SV_PRT,P2_SCOPE_SV_PRT,P3_SCOPE_SV_PRT</definedName>
    <definedName name="SCOPE_SV_PRT" localSheetId="37">P1_SCOPE_SV_PRT,P2_SCOPE_SV_PRT,P3_SCOPE_SV_PRT</definedName>
    <definedName name="SCOPE_SV_PRT" localSheetId="38">P1_SCOPE_SV_PRT,P2_SCOPE_SV_PRT,P3_SCOPE_SV_PRT</definedName>
    <definedName name="SCOPE_SV_PRT" localSheetId="12">P1_SCOPE_SV_PRT,P2_SCOPE_SV_PRT,P3_SCOPE_SV_PRT</definedName>
    <definedName name="SCOPE_SV_PRT" localSheetId="13">P1_SCOPE_SV_PRT,P2_SCOPE_SV_PRT,P3_SCOPE_SV_PRT</definedName>
    <definedName name="SCOPE_SV_PRT" localSheetId="14">P1_SCOPE_SV_PRT,P2_SCOPE_SV_PRT,P3_SCOPE_SV_PRT</definedName>
    <definedName name="SCOPE_SV_PRT" localSheetId="16">P1_SCOPE_SV_PRT,P2_SCOPE_SV_PRT,P3_SCOPE_SV_PRT</definedName>
    <definedName name="SCOPE_SV_PRT" localSheetId="15">P1_SCOPE_SV_PRT,P2_SCOPE_SV_PRT,P3_SCOPE_SV_PRT</definedName>
    <definedName name="SCOPE_SV_PRT" localSheetId="17">P1_SCOPE_SV_PRT,P2_SCOPE_SV_PRT,P3_SCOPE_SV_PRT</definedName>
    <definedName name="SCOPE_SV_PRT" localSheetId="18">P1_SCOPE_SV_PRT,P2_SCOPE_SV_PRT,P3_SCOPE_SV_PRT</definedName>
    <definedName name="SCOPE_SV_PRT" localSheetId="19">P1_SCOPE_SV_PRT,P2_SCOPE_SV_PRT,P3_SCOPE_SV_PRT</definedName>
    <definedName name="SCOPE_SV_PRT" localSheetId="20">P1_SCOPE_SV_PRT,P2_SCOPE_SV_PRT,P3_SCOPE_SV_PRT</definedName>
    <definedName name="SCOPE_SV_PRT" localSheetId="21">P1_SCOPE_SV_PRT,P2_SCOPE_SV_PRT,P3_SCOPE_SV_PRT</definedName>
    <definedName name="SCOPE_SV_PRT" localSheetId="22">P1_SCOPE_SV_PRT,P2_SCOPE_SV_PRT,P3_SCOPE_SV_PRT</definedName>
    <definedName name="SCOPE_SV_PRT" localSheetId="23">P1_SCOPE_SV_PRT,P2_SCOPE_SV_PRT,P3_SCOPE_SV_PRT</definedName>
    <definedName name="SCOPE_SV_PRT" localSheetId="24">P1_SCOPE_SV_PRT,P2_SCOPE_SV_PRT,P3_SCOPE_SV_PRT</definedName>
    <definedName name="SCOPE_SV_PRT" localSheetId="25">P1_SCOPE_SV_PRT,P2_SCOPE_SV_PRT,P3_SCOPE_SV_PRT</definedName>
    <definedName name="SCOPE_SV_PRT" localSheetId="26">P1_SCOPE_SV_PRT,P2_SCOPE_SV_PRT,P3_SCOPE_SV_PRT</definedName>
    <definedName name="SCOPE_SV_PRT" localSheetId="29">P1_SCOPE_SV_PRT,P2_SCOPE_SV_PRT,P3_SCOPE_SV_PRT</definedName>
    <definedName name="SCOPE_SV_PRT" localSheetId="27">P1_SCOPE_SV_PRT,P2_SCOPE_SV_PRT,P3_SCOPE_SV_PRT</definedName>
    <definedName name="SCOPE_SV_PRT" localSheetId="30">P1_SCOPE_SV_PRT,P2_SCOPE_SV_PRT,P3_SCOPE_SV_PRT</definedName>
    <definedName name="SCOPE_SV_PRT" localSheetId="31">P1_SCOPE_SV_PRT,P2_SCOPE_SV_PRT,P3_SCOPE_SV_PRT</definedName>
    <definedName name="SCOPE_SV_PRT" localSheetId="32">P1_SCOPE_SV_PRT,P2_SCOPE_SV_PRT,P3_SCOPE_SV_PRT</definedName>
    <definedName name="SCOPE_SV_PRT" localSheetId="28">P1_SCOPE_SV_PRT,P2_SCOPE_SV_PRT,P3_SCOPE_SV_PRT</definedName>
    <definedName name="SCOPE_SV_PRT" localSheetId="33">P1_SCOPE_SV_PRT,P2_SCOPE_SV_PRT,P3_SCOPE_SV_PRT</definedName>
    <definedName name="SCOPE_SV_PRT" localSheetId="10">P1_SCOPE_SV_PRT,P2_SCOPE_SV_PRT,P3_SCOPE_SV_PRT</definedName>
    <definedName name="SCOPE_SV_PRT">P1_SCOPE_SV_PRT,P2_SCOPE_SV_PRT,P3_SCOPE_SV_PRT</definedName>
    <definedName name="T2_DiapProt" localSheetId="34">P1_T2_DiapProt,P2_T2_DiapProt</definedName>
    <definedName name="T2_DiapProt" localSheetId="35">P1_T2_DiapProt,P2_T2_DiapProt</definedName>
    <definedName name="T2_DiapProt" localSheetId="36">P1_T2_DiapProt,P2_T2_DiapProt</definedName>
    <definedName name="T2_DiapProt" localSheetId="37">P1_T2_DiapProt,P2_T2_DiapProt</definedName>
    <definedName name="T2_DiapProt" localSheetId="38">P1_T2_DiapProt,P2_T2_DiapProt</definedName>
    <definedName name="T2_DiapProt" localSheetId="12">P1_T2_DiapProt,P2_T2_DiapProt</definedName>
    <definedName name="T2_DiapProt" localSheetId="13">P1_T2_DiapProt,P2_T2_DiapProt</definedName>
    <definedName name="T2_DiapProt" localSheetId="14">P1_T2_DiapProt,P2_T2_DiapProt</definedName>
    <definedName name="T2_DiapProt" localSheetId="16">P1_T2_DiapProt,P2_T2_DiapProt</definedName>
    <definedName name="T2_DiapProt" localSheetId="15">P1_T2_DiapProt,P2_T2_DiapProt</definedName>
    <definedName name="T2_DiapProt" localSheetId="17">P1_T2_DiapProt,P2_T2_DiapProt</definedName>
    <definedName name="T2_DiapProt" localSheetId="18">P1_T2_DiapProt,P2_T2_DiapProt</definedName>
    <definedName name="T2_DiapProt" localSheetId="19">P1_T2_DiapProt,P2_T2_DiapProt</definedName>
    <definedName name="T2_DiapProt" localSheetId="20">P1_T2_DiapProt,P2_T2_DiapProt</definedName>
    <definedName name="T2_DiapProt" localSheetId="21">P1_T2_DiapProt,P2_T2_DiapProt</definedName>
    <definedName name="T2_DiapProt" localSheetId="22">P1_T2_DiapProt,P2_T2_DiapProt</definedName>
    <definedName name="T2_DiapProt" localSheetId="23">P1_T2_DiapProt,P2_T2_DiapProt</definedName>
    <definedName name="T2_DiapProt" localSheetId="24">P1_T2_DiapProt,P2_T2_DiapProt</definedName>
    <definedName name="T2_DiapProt" localSheetId="25">P1_T2_DiapProt,P2_T2_DiapProt</definedName>
    <definedName name="T2_DiapProt" localSheetId="26">P1_T2_DiapProt,P2_T2_DiapProt</definedName>
    <definedName name="T2_DiapProt" localSheetId="29">P1_T2_DiapProt,P2_T2_DiapProt</definedName>
    <definedName name="T2_DiapProt" localSheetId="27">P1_T2_DiapProt,P2_T2_DiapProt</definedName>
    <definedName name="T2_DiapProt" localSheetId="30">P1_T2_DiapProt,P2_T2_DiapProt</definedName>
    <definedName name="T2_DiapProt" localSheetId="31">P1_T2_DiapProt,P2_T2_DiapProt</definedName>
    <definedName name="T2_DiapProt" localSheetId="32">P1_T2_DiapProt,P2_T2_DiapProt</definedName>
    <definedName name="T2_DiapProt" localSheetId="28">P1_T2_DiapProt,P2_T2_DiapProt</definedName>
    <definedName name="T2_DiapProt" localSheetId="33">P1_T2_DiapProt,P2_T2_DiapProt</definedName>
    <definedName name="T2_DiapProt" localSheetId="10">P1_T2_DiapProt,P2_T2_DiapProt</definedName>
    <definedName name="T2_DiapProt">P1_T2_DiapProt,P2_T2_DiapProt</definedName>
    <definedName name="T6_Protect" localSheetId="34">P1_T6_Protect,P2_T6_Protect</definedName>
    <definedName name="T6_Protect" localSheetId="35">P1_T6_Protect,P2_T6_Protect</definedName>
    <definedName name="T6_Protect" localSheetId="36">P1_T6_Protect,P2_T6_Protect</definedName>
    <definedName name="T6_Protect" localSheetId="37">P1_T6_Protect,P2_T6_Protect</definedName>
    <definedName name="T6_Protect" localSheetId="38">P1_T6_Protect,P2_T6_Protect</definedName>
    <definedName name="T6_Protect" localSheetId="12">P1_T6_Protect,P2_T6_Protect</definedName>
    <definedName name="T6_Protect" localSheetId="13">P1_T6_Protect,P2_T6_Protect</definedName>
    <definedName name="T6_Protect" localSheetId="14">P1_T6_Protect,P2_T6_Protect</definedName>
    <definedName name="T6_Protect" localSheetId="16">P1_T6_Protect,P2_T6_Protect</definedName>
    <definedName name="T6_Protect" localSheetId="15">P1_T6_Protect,P2_T6_Protect</definedName>
    <definedName name="T6_Protect" localSheetId="17">P1_T6_Protect,P2_T6_Protect</definedName>
    <definedName name="T6_Protect" localSheetId="18">P1_T6_Protect,P2_T6_Protect</definedName>
    <definedName name="T6_Protect" localSheetId="19">P1_T6_Protect,P2_T6_Protect</definedName>
    <definedName name="T6_Protect" localSheetId="20">P1_T6_Protect,P2_T6_Protect</definedName>
    <definedName name="T6_Protect" localSheetId="21">P1_T6_Protect,P2_T6_Protect</definedName>
    <definedName name="T6_Protect" localSheetId="22">P1_T6_Protect,P2_T6_Protect</definedName>
    <definedName name="T6_Protect" localSheetId="23">P1_T6_Protect,P2_T6_Protect</definedName>
    <definedName name="T6_Protect" localSheetId="24">P1_T6_Protect,P2_T6_Protect</definedName>
    <definedName name="T6_Protect" localSheetId="25">P1_T6_Protect,P2_T6_Protect</definedName>
    <definedName name="T6_Protect" localSheetId="26">P1_T6_Protect,P2_T6_Protect</definedName>
    <definedName name="T6_Protect" localSheetId="29">P1_T6_Protect,P2_T6_Protect</definedName>
    <definedName name="T6_Protect" localSheetId="27">P1_T6_Protect,P2_T6_Protect</definedName>
    <definedName name="T6_Protect" localSheetId="30">P1_T6_Protect,P2_T6_Protect</definedName>
    <definedName name="T6_Protect" localSheetId="31">P1_T6_Protect,P2_T6_Protect</definedName>
    <definedName name="T6_Protect" localSheetId="32">P1_T6_Protect,P2_T6_Protect</definedName>
    <definedName name="T6_Protect" localSheetId="28">P1_T6_Protect,P2_T6_Protect</definedName>
    <definedName name="T6_Protect" localSheetId="33">P1_T6_Protect,P2_T6_Protect</definedName>
    <definedName name="T6_Protect" localSheetId="10">P1_T6_Protect,P2_T6_Protect</definedName>
    <definedName name="T6_Protect">P1_T6_Protect,P2_T6_Protect</definedName>
    <definedName name="TABLE" localSheetId="11">'п.п. 11 Б 10-11'!#REF!</definedName>
    <definedName name="TABLE_2" localSheetId="11">'п.п. 11 Б 10-11'!#REF!</definedName>
    <definedName name="вкладка_п.п._11_Б_7">Главная!$H$14</definedName>
    <definedName name="вкладка_п.п._11а" localSheetId="0">'п.п. 11 а'!$A$3:$A$6</definedName>
    <definedName name="вкладка_п.п._11а" localSheetId="1">Главная!$H$3</definedName>
    <definedName name="_xlnm.Print_Area" localSheetId="0">Главная!$A$1:$H$70</definedName>
    <definedName name="_xlnm.Print_Area" localSheetId="35">'п. 9 В-1'!$A$1:$S$266</definedName>
    <definedName name="_xlnm.Print_Area" localSheetId="36">'п. 9 Г (1,2)'!$A$1:$H$161</definedName>
    <definedName name="_xlnm.Print_Area" localSheetId="37">'п. 9 Г (5)'!$A$1:$I$93</definedName>
    <definedName name="_xlnm.Print_Area" localSheetId="38">'п. 9 Г стар'!$A$1:$W$66</definedName>
    <definedName name="_xlnm.Print_Area" localSheetId="11">'п.п. 11 Б 10-11'!$A$1:$FK$41</definedName>
    <definedName name="_xlnm.Print_Area" localSheetId="3">'п.п. 11 Б-1'!$A$1:$S$60</definedName>
    <definedName name="_xlnm.Print_Area" localSheetId="4">'п.п. 11 Б-2'!$A$1:$H$290</definedName>
    <definedName name="_xlnm.Print_Area" localSheetId="5">'п.п. 11 Б-3'!$A$1:$O$73</definedName>
    <definedName name="_xlnm.Print_Area" localSheetId="6">'п.п. 11 Б-4'!$A$1:$O$60</definedName>
    <definedName name="_xlnm.Print_Area" localSheetId="7">'п.п. 11 Б-5'!$A$1:$M$41</definedName>
    <definedName name="_xlnm.Print_Area" localSheetId="9">'п.п. 11 Б-7'!$A$1:$P$75</definedName>
    <definedName name="_xlnm.Print_Area" localSheetId="16">'п.п. 11 В (1)'!$A$1:$E$28</definedName>
    <definedName name="_xlnm.Print_Area" localSheetId="17">'п.п. 11 В-2 '!$A$1:$AB$115</definedName>
    <definedName name="_xlnm.Print_Area" localSheetId="21">'п.п. 11 Е'!$A$1:$A$27</definedName>
    <definedName name="_xlnm.Print_Area" localSheetId="25">'п.п. 11 и'!$B$1:$B$47</definedName>
    <definedName name="_xlnm.Print_Area" localSheetId="26">'п.п. 11 к'!$B$1:$B$46</definedName>
    <definedName name="_xlnm.Print_Area" localSheetId="29">'п.п. 11 к 3'!$A$1:$R$45</definedName>
    <definedName name="_xlnm.Print_Area" localSheetId="27">'п.п. 11 л 1'!$A$1:$C$49</definedName>
    <definedName name="_xlnm.Print_Area" localSheetId="30">'п.п. 11 л 4'!$A$1:$C$18</definedName>
    <definedName name="_xlnm.Print_Area" localSheetId="31">'п.п. 11 л 5'!$A$1:$M$45</definedName>
    <definedName name="_xlnm.Print_Area" localSheetId="28">'п.п. 11л 2'!$A$1:$P$75</definedName>
    <definedName name="_xlnm.Print_Area" localSheetId="33">'п.п. 9 Б-1'!$A$1:$P$87</definedName>
  </definedNames>
  <calcPr calcId="125725"/>
</workbook>
</file>

<file path=xl/calcChain.xml><?xml version="1.0" encoding="utf-8"?>
<calcChain xmlns="http://schemas.openxmlformats.org/spreadsheetml/2006/main">
  <c r="T76" i="28"/>
  <c r="R76"/>
  <c r="G76"/>
  <c r="P78"/>
  <c r="P77"/>
  <c r="P76" l="1"/>
  <c r="N78" l="1"/>
  <c r="N77" l="1"/>
  <c r="N76" l="1"/>
  <c r="L78" l="1"/>
  <c r="L77" l="1"/>
  <c r="L76" l="1"/>
  <c r="E76" l="1"/>
  <c r="F76"/>
  <c r="O76" l="1"/>
  <c r="D67" i="9"/>
  <c r="E68" i="13"/>
  <c r="E69" s="1"/>
  <c r="P69" s="1"/>
  <c r="D68"/>
  <c r="D69"/>
  <c r="F69"/>
  <c r="G69"/>
  <c r="H69"/>
  <c r="I69"/>
  <c r="J69"/>
  <c r="K69"/>
  <c r="L69"/>
  <c r="M69"/>
  <c r="N69"/>
  <c r="O69"/>
  <c r="Q383" i="7"/>
  <c r="E378"/>
  <c r="E380" s="1"/>
  <c r="C67" i="9"/>
  <c r="C68" s="1"/>
  <c r="O65"/>
  <c r="O66"/>
  <c r="N68"/>
  <c r="M68"/>
  <c r="L68"/>
  <c r="K68"/>
  <c r="J68"/>
  <c r="I68"/>
  <c r="H68"/>
  <c r="G68"/>
  <c r="F68"/>
  <c r="E68"/>
  <c r="D68"/>
  <c r="F278" i="8"/>
  <c r="F279"/>
  <c r="F280"/>
  <c r="F281"/>
  <c r="F282"/>
  <c r="F283"/>
  <c r="F284"/>
  <c r="F285"/>
  <c r="F286"/>
  <c r="F287"/>
  <c r="F288"/>
  <c r="F289"/>
  <c r="F290"/>
  <c r="G278"/>
  <c r="G279"/>
  <c r="G290" s="1"/>
  <c r="H290" s="1"/>
  <c r="G280"/>
  <c r="G281"/>
  <c r="G282"/>
  <c r="G283"/>
  <c r="G284"/>
  <c r="G285"/>
  <c r="G286"/>
  <c r="G287"/>
  <c r="G288"/>
  <c r="G289"/>
  <c r="B290"/>
  <c r="H289"/>
  <c r="H288"/>
  <c r="H287"/>
  <c r="H286"/>
  <c r="H285"/>
  <c r="H284"/>
  <c r="H283"/>
  <c r="H282"/>
  <c r="H281"/>
  <c r="H280"/>
  <c r="H279"/>
  <c r="H278"/>
  <c r="F262"/>
  <c r="F263"/>
  <c r="F264"/>
  <c r="F265"/>
  <c r="F266"/>
  <c r="F267"/>
  <c r="F268"/>
  <c r="F269"/>
  <c r="F270"/>
  <c r="F271"/>
  <c r="F272"/>
  <c r="F273"/>
  <c r="F274"/>
  <c r="G262"/>
  <c r="G263"/>
  <c r="G274" s="1"/>
  <c r="H274" s="1"/>
  <c r="G264"/>
  <c r="G265"/>
  <c r="G266"/>
  <c r="G267"/>
  <c r="G268"/>
  <c r="G269"/>
  <c r="G270"/>
  <c r="G271"/>
  <c r="G272"/>
  <c r="G273"/>
  <c r="B274"/>
  <c r="H273"/>
  <c r="H272"/>
  <c r="H271"/>
  <c r="H270"/>
  <c r="H269"/>
  <c r="H268"/>
  <c r="H267"/>
  <c r="H266"/>
  <c r="H265"/>
  <c r="H264"/>
  <c r="H263"/>
  <c r="H262"/>
  <c r="Q434" i="7"/>
  <c r="Q433"/>
  <c r="E432"/>
  <c r="F432"/>
  <c r="G432"/>
  <c r="H432"/>
  <c r="I432"/>
  <c r="J432"/>
  <c r="K432"/>
  <c r="L432"/>
  <c r="M432"/>
  <c r="N432"/>
  <c r="O432"/>
  <c r="P432"/>
  <c r="Q432"/>
  <c r="E431"/>
  <c r="F431"/>
  <c r="Q431" s="1"/>
  <c r="G431"/>
  <c r="H431"/>
  <c r="I431"/>
  <c r="J431"/>
  <c r="K431"/>
  <c r="L431"/>
  <c r="M431"/>
  <c r="N431"/>
  <c r="O431"/>
  <c r="P431"/>
  <c r="Q430"/>
  <c r="E428"/>
  <c r="F428"/>
  <c r="G428"/>
  <c r="H428"/>
  <c r="I428"/>
  <c r="J428"/>
  <c r="K428"/>
  <c r="L428"/>
  <c r="Q428" s="1"/>
  <c r="M428"/>
  <c r="N428"/>
  <c r="O428"/>
  <c r="P428"/>
  <c r="E422"/>
  <c r="E414" s="1"/>
  <c r="F422"/>
  <c r="G422"/>
  <c r="H422"/>
  <c r="I422"/>
  <c r="J422"/>
  <c r="K422"/>
  <c r="L422"/>
  <c r="Q422"/>
  <c r="Q421"/>
  <c r="Q420"/>
  <c r="Q419"/>
  <c r="Q417"/>
  <c r="F414"/>
  <c r="F416"/>
  <c r="G414"/>
  <c r="G416"/>
  <c r="H414"/>
  <c r="H416"/>
  <c r="I414"/>
  <c r="I416"/>
  <c r="J414"/>
  <c r="J416"/>
  <c r="K414"/>
  <c r="K416"/>
  <c r="L414"/>
  <c r="L416"/>
  <c r="M414"/>
  <c r="M416"/>
  <c r="N414"/>
  <c r="N416" s="1"/>
  <c r="O414"/>
  <c r="O416" s="1"/>
  <c r="P414"/>
  <c r="P416" s="1"/>
  <c r="Q407"/>
  <c r="Q406"/>
  <c r="Q405"/>
  <c r="Q404"/>
  <c r="E399"/>
  <c r="F399"/>
  <c r="G399"/>
  <c r="H399"/>
  <c r="I399"/>
  <c r="J399"/>
  <c r="K399"/>
  <c r="L399"/>
  <c r="Q403"/>
  <c r="E402"/>
  <c r="F402"/>
  <c r="G402"/>
  <c r="H402"/>
  <c r="I402"/>
  <c r="J402"/>
  <c r="K402"/>
  <c r="L402"/>
  <c r="M402"/>
  <c r="N402"/>
  <c r="O402"/>
  <c r="P402"/>
  <c r="Q402" s="1"/>
  <c r="E401"/>
  <c r="F401"/>
  <c r="G401"/>
  <c r="H401"/>
  <c r="I401"/>
  <c r="J401"/>
  <c r="K401"/>
  <c r="L401"/>
  <c r="M401"/>
  <c r="N401"/>
  <c r="O401"/>
  <c r="P401"/>
  <c r="Q401"/>
  <c r="E400"/>
  <c r="F400"/>
  <c r="G400"/>
  <c r="H400"/>
  <c r="I400"/>
  <c r="J400"/>
  <c r="K400"/>
  <c r="L400"/>
  <c r="M400"/>
  <c r="N400"/>
  <c r="O400"/>
  <c r="P400"/>
  <c r="Q400"/>
  <c r="M399"/>
  <c r="N399"/>
  <c r="O399"/>
  <c r="P399"/>
  <c r="Q399"/>
  <c r="E397"/>
  <c r="F397"/>
  <c r="G397"/>
  <c r="H397"/>
  <c r="I397"/>
  <c r="J397"/>
  <c r="K397"/>
  <c r="L397"/>
  <c r="M397"/>
  <c r="N397"/>
  <c r="O397"/>
  <c r="P397"/>
  <c r="Q397" s="1"/>
  <c r="Q391"/>
  <c r="Q390"/>
  <c r="Q389"/>
  <c r="Q388"/>
  <c r="Q387"/>
  <c r="Q385"/>
  <c r="Q384"/>
  <c r="Q382"/>
  <c r="Q381"/>
  <c r="F378"/>
  <c r="F380" s="1"/>
  <c r="G378"/>
  <c r="G380" s="1"/>
  <c r="H378"/>
  <c r="H380" s="1"/>
  <c r="I378"/>
  <c r="I380" s="1"/>
  <c r="J378"/>
  <c r="J380" s="1"/>
  <c r="K378"/>
  <c r="K380" s="1"/>
  <c r="L378"/>
  <c r="L380" s="1"/>
  <c r="M378"/>
  <c r="M380" s="1"/>
  <c r="N378"/>
  <c r="N380" s="1"/>
  <c r="O378"/>
  <c r="O380" s="1"/>
  <c r="P378"/>
  <c r="P380" s="1"/>
  <c r="Q378"/>
  <c r="AD50" i="21"/>
  <c r="O60" i="13"/>
  <c r="N61" i="9"/>
  <c r="N59"/>
  <c r="O61" i="13"/>
  <c r="M62"/>
  <c r="M61" i="9"/>
  <c r="N60" i="13"/>
  <c r="F224" i="8"/>
  <c r="L61" i="9"/>
  <c r="E19" i="24"/>
  <c r="T64" i="21"/>
  <c r="L60" i="13"/>
  <c r="K61" i="9"/>
  <c r="AD71" i="21"/>
  <c r="AD72" s="1"/>
  <c r="U52"/>
  <c r="K60" i="13"/>
  <c r="K61"/>
  <c r="J61" i="9"/>
  <c r="EN30" i="45"/>
  <c r="CJ30"/>
  <c r="DG30"/>
  <c r="DT30" s="1"/>
  <c r="DG27"/>
  <c r="DT27" s="1"/>
  <c r="FS27" s="1"/>
  <c r="BS27"/>
  <c r="DG26"/>
  <c r="DT26" s="1"/>
  <c r="FS26"/>
  <c r="BS26"/>
  <c r="DG25"/>
  <c r="DT25" s="1"/>
  <c r="FS25" s="1"/>
  <c r="BS25"/>
  <c r="DG24"/>
  <c r="DT24" s="1"/>
  <c r="FS24"/>
  <c r="BS24"/>
  <c r="DG23"/>
  <c r="DT23" s="1"/>
  <c r="FS23" s="1"/>
  <c r="BS23"/>
  <c r="DG22"/>
  <c r="DT22" s="1"/>
  <c r="FS22"/>
  <c r="BS22"/>
  <c r="DG21"/>
  <c r="DT21" s="1"/>
  <c r="FS21" s="1"/>
  <c r="BS21"/>
  <c r="DG20"/>
  <c r="DT20" s="1"/>
  <c r="FS20"/>
  <c r="BS20"/>
  <c r="DG19"/>
  <c r="DT19" s="1"/>
  <c r="FS19" s="1"/>
  <c r="BS19"/>
  <c r="DG18"/>
  <c r="DT18" s="1"/>
  <c r="FS18"/>
  <c r="BS18"/>
  <c r="DG17"/>
  <c r="DT17" s="1"/>
  <c r="FS17" s="1"/>
  <c r="BS17"/>
  <c r="J60" i="13"/>
  <c r="J61"/>
  <c r="I61" i="9"/>
  <c r="D63" i="44"/>
  <c r="D17"/>
  <c r="E17" s="1"/>
  <c r="G61" i="43"/>
  <c r="F61"/>
  <c r="G59"/>
  <c r="F59"/>
  <c r="F58"/>
  <c r="G13"/>
  <c r="G11"/>
  <c r="F13"/>
  <c r="F11"/>
  <c r="G84"/>
  <c r="H84"/>
  <c r="H58"/>
  <c r="G36"/>
  <c r="H36" s="1"/>
  <c r="H20"/>
  <c r="H19"/>
  <c r="G30" i="42"/>
  <c r="G23"/>
  <c r="G31"/>
  <c r="P38" i="40"/>
  <c r="R38"/>
  <c r="D38"/>
  <c r="F38"/>
  <c r="P37"/>
  <c r="R37"/>
  <c r="D37"/>
  <c r="F37"/>
  <c r="P34"/>
  <c r="D34"/>
  <c r="O33"/>
  <c r="N33"/>
  <c r="P33" s="1"/>
  <c r="R33"/>
  <c r="C33"/>
  <c r="B33"/>
  <c r="D33" s="1"/>
  <c r="F33" s="1"/>
  <c r="D32"/>
  <c r="F32"/>
  <c r="P31"/>
  <c r="J31"/>
  <c r="J30" s="1"/>
  <c r="L30"/>
  <c r="D31"/>
  <c r="F31"/>
  <c r="P30"/>
  <c r="I30"/>
  <c r="H30"/>
  <c r="D30"/>
  <c r="F30" s="1"/>
  <c r="R29"/>
  <c r="J29"/>
  <c r="L29"/>
  <c r="D29"/>
  <c r="F29"/>
  <c r="R28"/>
  <c r="J28"/>
  <c r="L28" s="1"/>
  <c r="D28"/>
  <c r="F28" s="1"/>
  <c r="P25"/>
  <c r="R25" s="1"/>
  <c r="J25"/>
  <c r="L25" s="1"/>
  <c r="D25"/>
  <c r="P24"/>
  <c r="R24"/>
  <c r="I24"/>
  <c r="H24"/>
  <c r="J24" s="1"/>
  <c r="L24"/>
  <c r="D24"/>
  <c r="P23"/>
  <c r="R23" s="1"/>
  <c r="J23"/>
  <c r="L23" s="1"/>
  <c r="D23"/>
  <c r="P22"/>
  <c r="J22"/>
  <c r="D22"/>
  <c r="P21"/>
  <c r="R21" s="1"/>
  <c r="J21"/>
  <c r="J20" s="1"/>
  <c r="L20"/>
  <c r="P20"/>
  <c r="R20"/>
  <c r="C20"/>
  <c r="B20"/>
  <c r="D20" s="1"/>
  <c r="F20" s="1"/>
  <c r="J19"/>
  <c r="L19"/>
  <c r="D19"/>
  <c r="F19"/>
  <c r="P17"/>
  <c r="R17"/>
  <c r="E51" i="38"/>
  <c r="E32"/>
  <c r="F15"/>
  <c r="E4"/>
  <c r="Q20" i="37"/>
  <c r="S11"/>
  <c r="R11"/>
  <c r="Q11"/>
  <c r="D246" i="36"/>
  <c r="D245"/>
  <c r="D244"/>
  <c r="D243"/>
  <c r="D242"/>
  <c r="D241"/>
  <c r="D240"/>
  <c r="D239"/>
  <c r="D238"/>
  <c r="D237"/>
  <c r="D236"/>
  <c r="D235"/>
  <c r="D234"/>
  <c r="N233"/>
  <c r="D233"/>
  <c r="D225"/>
  <c r="D224"/>
  <c r="D223"/>
  <c r="D222"/>
  <c r="D221"/>
  <c r="N174"/>
  <c r="D171"/>
  <c r="D44" i="35"/>
  <c r="P80" i="33"/>
  <c r="O80"/>
  <c r="N80"/>
  <c r="P79"/>
  <c r="O79"/>
  <c r="N79"/>
  <c r="I79"/>
  <c r="H79"/>
  <c r="L74"/>
  <c r="L78" s="1"/>
  <c r="L83"/>
  <c r="K74"/>
  <c r="K78"/>
  <c r="K83" s="1"/>
  <c r="J74"/>
  <c r="J78" s="1"/>
  <c r="J83"/>
  <c r="I74"/>
  <c r="I78"/>
  <c r="I83" s="1"/>
  <c r="H74"/>
  <c r="H78" s="1"/>
  <c r="H83"/>
  <c r="G74"/>
  <c r="G78"/>
  <c r="G83" s="1"/>
  <c r="F74"/>
  <c r="F78" s="1"/>
  <c r="F83"/>
  <c r="E74"/>
  <c r="E78"/>
  <c r="E83" s="1"/>
  <c r="D73"/>
  <c r="P67"/>
  <c r="L67"/>
  <c r="K67"/>
  <c r="J67"/>
  <c r="I67"/>
  <c r="H67"/>
  <c r="G67"/>
  <c r="F67"/>
  <c r="E67"/>
  <c r="D67"/>
  <c r="D63" s="1"/>
  <c r="O57"/>
  <c r="O74" s="1"/>
  <c r="O78" s="1"/>
  <c r="O83" s="1"/>
  <c r="N57"/>
  <c r="N74" s="1"/>
  <c r="N78" s="1"/>
  <c r="N83" s="1"/>
  <c r="D57"/>
  <c r="O51"/>
  <c r="N51"/>
  <c r="H51"/>
  <c r="P49"/>
  <c r="P74" s="1"/>
  <c r="P78" s="1"/>
  <c r="P83" s="1"/>
  <c r="M49"/>
  <c r="M74" s="1"/>
  <c r="M78" s="1"/>
  <c r="M83" s="1"/>
  <c r="D49"/>
  <c r="D74" s="1"/>
  <c r="D78" s="1"/>
  <c r="D83" s="1"/>
  <c r="D45"/>
  <c r="E33"/>
  <c r="D33"/>
  <c r="H27"/>
  <c r="G27"/>
  <c r="F27"/>
  <c r="E27"/>
  <c r="D27"/>
  <c r="J17"/>
  <c r="J13" s="1"/>
  <c r="I17"/>
  <c r="I13" s="1"/>
  <c r="H17"/>
  <c r="H13" s="1"/>
  <c r="G17"/>
  <c r="G13" s="1"/>
  <c r="F17"/>
  <c r="F13" s="1"/>
  <c r="J6"/>
  <c r="I6"/>
  <c r="H6"/>
  <c r="G6"/>
  <c r="F6"/>
  <c r="B62" i="32"/>
  <c r="C15"/>
  <c r="C42" s="1"/>
  <c r="B15"/>
  <c r="C43" s="1"/>
  <c r="A1326" i="29"/>
  <c r="A1327" s="1"/>
  <c r="A1328"/>
  <c r="A1329" s="1"/>
  <c r="A1330" s="1"/>
  <c r="A1331" s="1"/>
  <c r="A1332" s="1"/>
  <c r="A1333" s="1"/>
  <c r="A1334" s="1"/>
  <c r="A1335" s="1"/>
  <c r="A1321"/>
  <c r="A1322" s="1"/>
  <c r="A1323" s="1"/>
  <c r="A1324" s="1"/>
  <c r="A1215"/>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180"/>
  <c r="A1181"/>
  <c r="A1182" s="1"/>
  <c r="A1183"/>
  <c r="AB1170"/>
  <c r="AA1170"/>
  <c r="Z1170"/>
  <c r="Y1170"/>
  <c r="X1170"/>
  <c r="W1170"/>
  <c r="U1170"/>
  <c r="S1170"/>
  <c r="Q1170"/>
  <c r="O1170"/>
  <c r="M1170"/>
  <c r="K1170"/>
  <c r="J1170"/>
  <c r="I1170"/>
  <c r="H1170"/>
  <c r="G1170"/>
  <c r="F1170"/>
  <c r="E1169"/>
  <c r="R1168"/>
  <c r="V1168"/>
  <c r="V1170" s="1"/>
  <c r="D1168"/>
  <c r="P1167"/>
  <c r="R1167"/>
  <c r="D1167"/>
  <c r="N1166"/>
  <c r="P1166" s="1"/>
  <c r="D1166"/>
  <c r="E1165"/>
  <c r="P1165"/>
  <c r="R1165" s="1"/>
  <c r="E1164"/>
  <c r="P1164" s="1"/>
  <c r="R1164"/>
  <c r="E1163"/>
  <c r="P1163"/>
  <c r="R1163" s="1"/>
  <c r="N1162"/>
  <c r="P1162" s="1"/>
  <c r="D1162"/>
  <c r="P1161"/>
  <c r="R1161"/>
  <c r="D1161"/>
  <c r="N1160"/>
  <c r="P1160" s="1"/>
  <c r="D1160"/>
  <c r="E1159"/>
  <c r="T1159"/>
  <c r="T1170" s="1"/>
  <c r="E1158"/>
  <c r="L1158" s="1"/>
  <c r="E1157"/>
  <c r="R1157" s="1"/>
  <c r="E1156"/>
  <c r="L1156" s="1"/>
  <c r="E1155"/>
  <c r="P1155" s="1"/>
  <c r="D1154"/>
  <c r="Q1148"/>
  <c r="Q1147"/>
  <c r="Q1146"/>
  <c r="Q1145"/>
  <c r="Q1144"/>
  <c r="Q1143"/>
  <c r="Q1142"/>
  <c r="Q1141"/>
  <c r="Q1140"/>
  <c r="Q1139"/>
  <c r="Q1138"/>
  <c r="Q1137"/>
  <c r="Q1136"/>
  <c r="Q1135"/>
  <c r="Q1134"/>
  <c r="Q1133"/>
  <c r="Q1132"/>
  <c r="Q1131"/>
  <c r="Q1130"/>
  <c r="Q1129"/>
  <c r="Q1128"/>
  <c r="Q1127"/>
  <c r="Q1126"/>
  <c r="Q1125"/>
  <c r="Q1124"/>
  <c r="Q1123"/>
  <c r="Q1122"/>
  <c r="Q1121"/>
  <c r="Q1120"/>
  <c r="Q1119"/>
  <c r="Q1118"/>
  <c r="Q1117"/>
  <c r="Q1116"/>
  <c r="Q1115"/>
  <c r="Q1114"/>
  <c r="Q1113"/>
  <c r="Q1112"/>
  <c r="Q1111"/>
  <c r="Q1110"/>
  <c r="Q1109"/>
  <c r="Q1108"/>
  <c r="Q1107"/>
  <c r="Q1106"/>
  <c r="Q1105"/>
  <c r="Q1104"/>
  <c r="Q1103"/>
  <c r="Q1102"/>
  <c r="Q1101"/>
  <c r="Q1100"/>
  <c r="Q1099"/>
  <c r="Q1098"/>
  <c r="Q1097"/>
  <c r="Q1096"/>
  <c r="Q1095"/>
  <c r="Q1094"/>
  <c r="Q1093"/>
  <c r="Q1092"/>
  <c r="Q1091"/>
  <c r="Q1090"/>
  <c r="Q1089"/>
  <c r="Q1088"/>
  <c r="Q1087"/>
  <c r="Q1086"/>
  <c r="Q1085"/>
  <c r="Q1084"/>
  <c r="Q1083"/>
  <c r="Q1082"/>
  <c r="Q1081"/>
  <c r="Q1080"/>
  <c r="Q1079"/>
  <c r="Q1078"/>
  <c r="Q1077"/>
  <c r="Q1076"/>
  <c r="Q1075"/>
  <c r="Q1074"/>
  <c r="Q1073"/>
  <c r="Q1072"/>
  <c r="Q1071"/>
  <c r="Q1070"/>
  <c r="Q1069"/>
  <c r="Q1068"/>
  <c r="Q1067"/>
  <c r="Q1066"/>
  <c r="Q1065"/>
  <c r="Q1064"/>
  <c r="Q1063"/>
  <c r="Q1062"/>
  <c r="Q1061"/>
  <c r="Q1060"/>
  <c r="Q1059"/>
  <c r="Q1058"/>
  <c r="Q1057"/>
  <c r="Q1056"/>
  <c r="Q1055"/>
  <c r="Q1054"/>
  <c r="Q1053"/>
  <c r="Q1052"/>
  <c r="Q1051"/>
  <c r="Q1050"/>
  <c r="Q1049"/>
  <c r="Q1048"/>
  <c r="Q1047"/>
  <c r="Q1046"/>
  <c r="Q1045"/>
  <c r="Q1044"/>
  <c r="Q1043"/>
  <c r="Q1042"/>
  <c r="Q1041"/>
  <c r="Q1040"/>
  <c r="Q1039"/>
  <c r="Q1038"/>
  <c r="Q1037"/>
  <c r="Q1036"/>
  <c r="Q1035"/>
  <c r="Q1034"/>
  <c r="Q1033"/>
  <c r="Q1031"/>
  <c r="Q1030"/>
  <c r="Q1028"/>
  <c r="Q1027"/>
  <c r="Q1026"/>
  <c r="Q1025"/>
  <c r="Q1024"/>
  <c r="Q1023"/>
  <c r="Q1022"/>
  <c r="Q1021"/>
  <c r="Q1020"/>
  <c r="Q1019"/>
  <c r="Q1018"/>
  <c r="Q1017"/>
  <c r="Q1016"/>
  <c r="Q1015"/>
  <c r="Q1014"/>
  <c r="Q1013"/>
  <c r="Q1012"/>
  <c r="Q1011"/>
  <c r="Q1010"/>
  <c r="Q1009"/>
  <c r="Q1008"/>
  <c r="Q1007"/>
  <c r="Q1006"/>
  <c r="Q1005"/>
  <c r="Q1004"/>
  <c r="Q1003"/>
  <c r="Q1002"/>
  <c r="Q1001"/>
  <c r="Q1000"/>
  <c r="Q999"/>
  <c r="Q998"/>
  <c r="Q997"/>
  <c r="Q996"/>
  <c r="Q995"/>
  <c r="Q994"/>
  <c r="Q993"/>
  <c r="Q992"/>
  <c r="Q991"/>
  <c r="Q990"/>
  <c r="Q989"/>
  <c r="Q988"/>
  <c r="Q987"/>
  <c r="Q986"/>
  <c r="Q985"/>
  <c r="Q984"/>
  <c r="Q983"/>
  <c r="Q982"/>
  <c r="Q981"/>
  <c r="Q980"/>
  <c r="Q979"/>
  <c r="Q978"/>
  <c r="Q977"/>
  <c r="Q976"/>
  <c r="Q975"/>
  <c r="Q974"/>
  <c r="Q973"/>
  <c r="Q972"/>
  <c r="Q971"/>
  <c r="Q970"/>
  <c r="Q969"/>
  <c r="Q968"/>
  <c r="Q967"/>
  <c r="Q966"/>
  <c r="Q965"/>
  <c r="Q964"/>
  <c r="Q963"/>
  <c r="Q962"/>
  <c r="Q961"/>
  <c r="Q960"/>
  <c r="Q959"/>
  <c r="Q958"/>
  <c r="Q957"/>
  <c r="Q956"/>
  <c r="Q955"/>
  <c r="Q954"/>
  <c r="Q953"/>
  <c r="Q952"/>
  <c r="Q951"/>
  <c r="Q950"/>
  <c r="Q949"/>
  <c r="Q948"/>
  <c r="Q947"/>
  <c r="Q946"/>
  <c r="Q945"/>
  <c r="Q944"/>
  <c r="Q943"/>
  <c r="Q942"/>
  <c r="Q941"/>
  <c r="Q940"/>
  <c r="Q939"/>
  <c r="Q938"/>
  <c r="Q937"/>
  <c r="Q936"/>
  <c r="Q935"/>
  <c r="Q934"/>
  <c r="Q933"/>
  <c r="Q932"/>
  <c r="Q931"/>
  <c r="Q930"/>
  <c r="Q929"/>
  <c r="Q928"/>
  <c r="Q927"/>
  <c r="Q926"/>
  <c r="Q925"/>
  <c r="Q924"/>
  <c r="Q923"/>
  <c r="Q922"/>
  <c r="Q921"/>
  <c r="Q920"/>
  <c r="Q919"/>
  <c r="Q918"/>
  <c r="Q917"/>
  <c r="Q916"/>
  <c r="Q915"/>
  <c r="Q914"/>
  <c r="Q913"/>
  <c r="Q912"/>
  <c r="Q911"/>
  <c r="Q910"/>
  <c r="Q909"/>
  <c r="Q908"/>
  <c r="Q907"/>
  <c r="Q906"/>
  <c r="Q905"/>
  <c r="Q904"/>
  <c r="Q903"/>
  <c r="Q902"/>
  <c r="Q901"/>
  <c r="Q900"/>
  <c r="Q899"/>
  <c r="Q898"/>
  <c r="Q897"/>
  <c r="Q896"/>
  <c r="Q895"/>
  <c r="Q894"/>
  <c r="Q893"/>
  <c r="Q892"/>
  <c r="Q891"/>
  <c r="Q890"/>
  <c r="Q889"/>
  <c r="Q888"/>
  <c r="Q887"/>
  <c r="Q886"/>
  <c r="Q885"/>
  <c r="Q884"/>
  <c r="Q883"/>
  <c r="Q882"/>
  <c r="Q881"/>
  <c r="Q880"/>
  <c r="Q879"/>
  <c r="Q878"/>
  <c r="Q877"/>
  <c r="Q876"/>
  <c r="Q875"/>
  <c r="Q874"/>
  <c r="Q873"/>
  <c r="Q872"/>
  <c r="Q871"/>
  <c r="Q870"/>
  <c r="Q869"/>
  <c r="Q868"/>
  <c r="Q867"/>
  <c r="Q866"/>
  <c r="Q865"/>
  <c r="Q864"/>
  <c r="Q863"/>
  <c r="Q862"/>
  <c r="Q861"/>
  <c r="Q860"/>
  <c r="Q859"/>
  <c r="Q858"/>
  <c r="Q857"/>
  <c r="Q856"/>
  <c r="Q855"/>
  <c r="Q854"/>
  <c r="Q853"/>
  <c r="Q852"/>
  <c r="Q851"/>
  <c r="Q850"/>
  <c r="Q849"/>
  <c r="Q848"/>
  <c r="Q847"/>
  <c r="Q846"/>
  <c r="Q845"/>
  <c r="Q844"/>
  <c r="Q843"/>
  <c r="Q842"/>
  <c r="Q841"/>
  <c r="Q840"/>
  <c r="Q839"/>
  <c r="Q838"/>
  <c r="Q837"/>
  <c r="Q836"/>
  <c r="Q835"/>
  <c r="Q834"/>
  <c r="Q833"/>
  <c r="Q832"/>
  <c r="Q831"/>
  <c r="Q830"/>
  <c r="Q829"/>
  <c r="Q828"/>
  <c r="Q827"/>
  <c r="Q826"/>
  <c r="Q825"/>
  <c r="Q824"/>
  <c r="Q823"/>
  <c r="Q822"/>
  <c r="Q821"/>
  <c r="Q820"/>
  <c r="Q819"/>
  <c r="Q818"/>
  <c r="Q817"/>
  <c r="Q816"/>
  <c r="Q815"/>
  <c r="Q814"/>
  <c r="Q813"/>
  <c r="Q812"/>
  <c r="Q811"/>
  <c r="Q810"/>
  <c r="Q809"/>
  <c r="Q808"/>
  <c r="Q807"/>
  <c r="Q806"/>
  <c r="Q805"/>
  <c r="Q804"/>
  <c r="Q803"/>
  <c r="Q802"/>
  <c r="Q801"/>
  <c r="Q800"/>
  <c r="Q799"/>
  <c r="Q798"/>
  <c r="Q797"/>
  <c r="Q796"/>
  <c r="Q795"/>
  <c r="Q794"/>
  <c r="Q793"/>
  <c r="Q792"/>
  <c r="Q791"/>
  <c r="Q790"/>
  <c r="Q789"/>
  <c r="Q788"/>
  <c r="Q787"/>
  <c r="Q786"/>
  <c r="Q785"/>
  <c r="Q784"/>
  <c r="Q783"/>
  <c r="Q781"/>
  <c r="Q780"/>
  <c r="Q779"/>
  <c r="Q778"/>
  <c r="Q777"/>
  <c r="Q776"/>
  <c r="Q775"/>
  <c r="Q774"/>
  <c r="Q773"/>
  <c r="Q772"/>
  <c r="Q771"/>
  <c r="Q770"/>
  <c r="Q769"/>
  <c r="Q768"/>
  <c r="Q767"/>
  <c r="Q766"/>
  <c r="Q765"/>
  <c r="Q764"/>
  <c r="Q763"/>
  <c r="Q762"/>
  <c r="Q761"/>
  <c r="Q760"/>
  <c r="Q759"/>
  <c r="Q758"/>
  <c r="Q757"/>
  <c r="Q756"/>
  <c r="Q755"/>
  <c r="Q754"/>
  <c r="Q753"/>
  <c r="Q752"/>
  <c r="Q751"/>
  <c r="Q750"/>
  <c r="Q749"/>
  <c r="Q748"/>
  <c r="Q747"/>
  <c r="Q746"/>
  <c r="Q745"/>
  <c r="Q744"/>
  <c r="Q743"/>
  <c r="Q742"/>
  <c r="Q741"/>
  <c r="Q740"/>
  <c r="Q739"/>
  <c r="Q738"/>
  <c r="Q737"/>
  <c r="Q736"/>
  <c r="Q735"/>
  <c r="Q734"/>
  <c r="Q733"/>
  <c r="Q732"/>
  <c r="Q731"/>
  <c r="Q730"/>
  <c r="Q729"/>
  <c r="Q728"/>
  <c r="Q727"/>
  <c r="Q726"/>
  <c r="Q725"/>
  <c r="Q724"/>
  <c r="Q723"/>
  <c r="Q722"/>
  <c r="Q721"/>
  <c r="Q720"/>
  <c r="Q719"/>
  <c r="Q718"/>
  <c r="Q717"/>
  <c r="Q716"/>
  <c r="Q715"/>
  <c r="Q714"/>
  <c r="Q713"/>
  <c r="Q712"/>
  <c r="Q711"/>
  <c r="Q710"/>
  <c r="Q709"/>
  <c r="Q708"/>
  <c r="Q707"/>
  <c r="Q706"/>
  <c r="Q705"/>
  <c r="Q704"/>
  <c r="Q703"/>
  <c r="Q702"/>
  <c r="Q701"/>
  <c r="Q700"/>
  <c r="Q699"/>
  <c r="Q698"/>
  <c r="Q697"/>
  <c r="Q696"/>
  <c r="Q695"/>
  <c r="Q694"/>
  <c r="Q693"/>
  <c r="Q692"/>
  <c r="Q691"/>
  <c r="Q690"/>
  <c r="Q689"/>
  <c r="Q688"/>
  <c r="Q687"/>
  <c r="Q686"/>
  <c r="Q685"/>
  <c r="Q684"/>
  <c r="Q683"/>
  <c r="Q682"/>
  <c r="Q681"/>
  <c r="Q680"/>
  <c r="Q679"/>
  <c r="Q678"/>
  <c r="Q677"/>
  <c r="Q676"/>
  <c r="Q675"/>
  <c r="Q674"/>
  <c r="Q673"/>
  <c r="Q672"/>
  <c r="Q671"/>
  <c r="Q670"/>
  <c r="Q669"/>
  <c r="Q668"/>
  <c r="Q667"/>
  <c r="Q666"/>
  <c r="Q665"/>
  <c r="Q664"/>
  <c r="Q663"/>
  <c r="Q662"/>
  <c r="Q661"/>
  <c r="Q660"/>
  <c r="Q659"/>
  <c r="Q658"/>
  <c r="Q657"/>
  <c r="Q656"/>
  <c r="Q655"/>
  <c r="Q654"/>
  <c r="Q653"/>
  <c r="Q652"/>
  <c r="Q651"/>
  <c r="Q650"/>
  <c r="Q649"/>
  <c r="Q648"/>
  <c r="Q647"/>
  <c r="Q646"/>
  <c r="Q645"/>
  <c r="Q644"/>
  <c r="Q643"/>
  <c r="Q642"/>
  <c r="Q641"/>
  <c r="Q640"/>
  <c r="Q639"/>
  <c r="Q638"/>
  <c r="Q637"/>
  <c r="Q636"/>
  <c r="Q635"/>
  <c r="Q634"/>
  <c r="Q633"/>
  <c r="Q632"/>
  <c r="Q631"/>
  <c r="Q630"/>
  <c r="Q629"/>
  <c r="Q628"/>
  <c r="Q627"/>
  <c r="Q626"/>
  <c r="Q625"/>
  <c r="Q624"/>
  <c r="Q623"/>
  <c r="Q622"/>
  <c r="Q621"/>
  <c r="Q620"/>
  <c r="Q619"/>
  <c r="Q618"/>
  <c r="Q617"/>
  <c r="Q616"/>
  <c r="Q615"/>
  <c r="Q614"/>
  <c r="Q613"/>
  <c r="Q612"/>
  <c r="Q611"/>
  <c r="Q610"/>
  <c r="Q609"/>
  <c r="Q608"/>
  <c r="Q607"/>
  <c r="Q606"/>
  <c r="Q605"/>
  <c r="Q604"/>
  <c r="Q603"/>
  <c r="Q602"/>
  <c r="Q601"/>
  <c r="Q600"/>
  <c r="Q599"/>
  <c r="Q598"/>
  <c r="Q597"/>
  <c r="Q596"/>
  <c r="Q595"/>
  <c r="Q594"/>
  <c r="Q593"/>
  <c r="Q592"/>
  <c r="Q591"/>
  <c r="Q590"/>
  <c r="Q589"/>
  <c r="Q588"/>
  <c r="Q587"/>
  <c r="Q586"/>
  <c r="Q585"/>
  <c r="Q584"/>
  <c r="Q583"/>
  <c r="Q582"/>
  <c r="Q581"/>
  <c r="Q580"/>
  <c r="Q579"/>
  <c r="Q578"/>
  <c r="Q577"/>
  <c r="Q576"/>
  <c r="Q575"/>
  <c r="Q574"/>
  <c r="Q573"/>
  <c r="Q572"/>
  <c r="Q571"/>
  <c r="Q570"/>
  <c r="Q569"/>
  <c r="Q568"/>
  <c r="Q567"/>
  <c r="Q566"/>
  <c r="Q565"/>
  <c r="Q564"/>
  <c r="Q563"/>
  <c r="Q562"/>
  <c r="Q561"/>
  <c r="Q560"/>
  <c r="Q559"/>
  <c r="Q558"/>
  <c r="Q557"/>
  <c r="Q556"/>
  <c r="Q555"/>
  <c r="Q554"/>
  <c r="Q553"/>
  <c r="Q552"/>
  <c r="Q551"/>
  <c r="Q550"/>
  <c r="Q549"/>
  <c r="Q548"/>
  <c r="Q547"/>
  <c r="Q546"/>
  <c r="Q545"/>
  <c r="Q544"/>
  <c r="Q543"/>
  <c r="Q542"/>
  <c r="Q541"/>
  <c r="Q540"/>
  <c r="Q539"/>
  <c r="Q538"/>
  <c r="Q537"/>
  <c r="Q536"/>
  <c r="Q535"/>
  <c r="Q534"/>
  <c r="Q533"/>
  <c r="Q532"/>
  <c r="Q531"/>
  <c r="Q530"/>
  <c r="Q529"/>
  <c r="Q528"/>
  <c r="Q527"/>
  <c r="Q526"/>
  <c r="Q525"/>
  <c r="Q524"/>
  <c r="Q523"/>
  <c r="Q522"/>
  <c r="Q521"/>
  <c r="Q520"/>
  <c r="Q519"/>
  <c r="Q518"/>
  <c r="Q517"/>
  <c r="Q516"/>
  <c r="Q515"/>
  <c r="Q514"/>
  <c r="Q513"/>
  <c r="Q512"/>
  <c r="Q511"/>
  <c r="Q510"/>
  <c r="Q509"/>
  <c r="Q508"/>
  <c r="Q507"/>
  <c r="Q506"/>
  <c r="Q505"/>
  <c r="Q504"/>
  <c r="Q503"/>
  <c r="Q502"/>
  <c r="Q501"/>
  <c r="Q500"/>
  <c r="Q499"/>
  <c r="Q498"/>
  <c r="Q497"/>
  <c r="Q496"/>
  <c r="Q495"/>
  <c r="Q494"/>
  <c r="Q493"/>
  <c r="Q492"/>
  <c r="Q491"/>
  <c r="Q490"/>
  <c r="Q489"/>
  <c r="Q488"/>
  <c r="Q487"/>
  <c r="Q486"/>
  <c r="Q485"/>
  <c r="Q484"/>
  <c r="Q483"/>
  <c r="Q482"/>
  <c r="Q481"/>
  <c r="Q480"/>
  <c r="Q479"/>
  <c r="Q478"/>
  <c r="Q477"/>
  <c r="Q476"/>
  <c r="Q475"/>
  <c r="Q474"/>
  <c r="Q473"/>
  <c r="Q472"/>
  <c r="Q471"/>
  <c r="Q470"/>
  <c r="Q469"/>
  <c r="Q468"/>
  <c r="Q467"/>
  <c r="Q466"/>
  <c r="Q465"/>
  <c r="Q464"/>
  <c r="Q463"/>
  <c r="Q462"/>
  <c r="Q461"/>
  <c r="Q460"/>
  <c r="Q459"/>
  <c r="Q458"/>
  <c r="Q457"/>
  <c r="Q456"/>
  <c r="Q455"/>
  <c r="Q454"/>
  <c r="Q453"/>
  <c r="Q452"/>
  <c r="Q451"/>
  <c r="Q450"/>
  <c r="Q449"/>
  <c r="Q448"/>
  <c r="Q447"/>
  <c r="Q446"/>
  <c r="Q445"/>
  <c r="Q444"/>
  <c r="Q443"/>
  <c r="Q442"/>
  <c r="Q441"/>
  <c r="Q440"/>
  <c r="Q439"/>
  <c r="Q438"/>
  <c r="Q437"/>
  <c r="Q436"/>
  <c r="Q435"/>
  <c r="Q434"/>
  <c r="Q433"/>
  <c r="Q432"/>
  <c r="Q431"/>
  <c r="Q430"/>
  <c r="Q429"/>
  <c r="Q428"/>
  <c r="Q427"/>
  <c r="Q426"/>
  <c r="Q425"/>
  <c r="Q424"/>
  <c r="Q423"/>
  <c r="Q422"/>
  <c r="Q421"/>
  <c r="Q420"/>
  <c r="Q419"/>
  <c r="Q418"/>
  <c r="Q417"/>
  <c r="Q416"/>
  <c r="Q415"/>
  <c r="Q414"/>
  <c r="Q413"/>
  <c r="Q412"/>
  <c r="Q411"/>
  <c r="Q410"/>
  <c r="Q409"/>
  <c r="Q408"/>
  <c r="Q407"/>
  <c r="Q406"/>
  <c r="Q405"/>
  <c r="Q404"/>
  <c r="Q403"/>
  <c r="Q402"/>
  <c r="Q401"/>
  <c r="Q400"/>
  <c r="Q399"/>
  <c r="Q398"/>
  <c r="Q397"/>
  <c r="Q396"/>
  <c r="Q395"/>
  <c r="Q394"/>
  <c r="Q393"/>
  <c r="Q392"/>
  <c r="Q391"/>
  <c r="Q390"/>
  <c r="Q389"/>
  <c r="Q388"/>
  <c r="Q387"/>
  <c r="Q386"/>
  <c r="Q385"/>
  <c r="Q384"/>
  <c r="Q383"/>
  <c r="Q382"/>
  <c r="Q381"/>
  <c r="Q380"/>
  <c r="Q379"/>
  <c r="Q378"/>
  <c r="Q377"/>
  <c r="Q376"/>
  <c r="Q375"/>
  <c r="Q374"/>
  <c r="Q373"/>
  <c r="Q372"/>
  <c r="Q371"/>
  <c r="Q370"/>
  <c r="Q369"/>
  <c r="Q368"/>
  <c r="Q367"/>
  <c r="Q366"/>
  <c r="Q365"/>
  <c r="Q364"/>
  <c r="Q363"/>
  <c r="Q362"/>
  <c r="Q361"/>
  <c r="Q360"/>
  <c r="Q359"/>
  <c r="Q358"/>
  <c r="Q357"/>
  <c r="Q356"/>
  <c r="Q355"/>
  <c r="Q354"/>
  <c r="Q353"/>
  <c r="Q352"/>
  <c r="Q351"/>
  <c r="Q350"/>
  <c r="Q349"/>
  <c r="Q348"/>
  <c r="Q347"/>
  <c r="Q346"/>
  <c r="Q345"/>
  <c r="Q344"/>
  <c r="Q343"/>
  <c r="Q342"/>
  <c r="Q341"/>
  <c r="Q340"/>
  <c r="Q339"/>
  <c r="Q338"/>
  <c r="Q337"/>
  <c r="Q336"/>
  <c r="Q335"/>
  <c r="Q334"/>
  <c r="Q333"/>
  <c r="Q332"/>
  <c r="Q331"/>
  <c r="Q330"/>
  <c r="Q329"/>
  <c r="Q328"/>
  <c r="Q327"/>
  <c r="Q326"/>
  <c r="Q325"/>
  <c r="Q324"/>
  <c r="Q323"/>
  <c r="Q322"/>
  <c r="Q321"/>
  <c r="Q320"/>
  <c r="Q319"/>
  <c r="Q318"/>
  <c r="Q317"/>
  <c r="Q316"/>
  <c r="Q315"/>
  <c r="Q314"/>
  <c r="Q313"/>
  <c r="Q312"/>
  <c r="Q311"/>
  <c r="Q310"/>
  <c r="Q309"/>
  <c r="Q308"/>
  <c r="Q307"/>
  <c r="Q306"/>
  <c r="Q305"/>
  <c r="Q304"/>
  <c r="Q303"/>
  <c r="Q302"/>
  <c r="Q301"/>
  <c r="Q300"/>
  <c r="Q299"/>
  <c r="Q298"/>
  <c r="Q297"/>
  <c r="Q296"/>
  <c r="Q295"/>
  <c r="Q294"/>
  <c r="Q293"/>
  <c r="Q292"/>
  <c r="Q291"/>
  <c r="Q290"/>
  <c r="Q289"/>
  <c r="Q288"/>
  <c r="Q287"/>
  <c r="Q286"/>
  <c r="Q285"/>
  <c r="Q284"/>
  <c r="Q283"/>
  <c r="Q282"/>
  <c r="Q281"/>
  <c r="Q280"/>
  <c r="Q279"/>
  <c r="Q278"/>
  <c r="Q277"/>
  <c r="Q276"/>
  <c r="Q275"/>
  <c r="Q274"/>
  <c r="Q273"/>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T66" i="28"/>
  <c r="J66"/>
  <c r="J67" s="1"/>
  <c r="E66"/>
  <c r="F66" s="1"/>
  <c r="O66" s="1"/>
  <c r="R56"/>
  <c r="J56"/>
  <c r="G56" s="1"/>
  <c r="E56"/>
  <c r="F56" s="1"/>
  <c r="P48"/>
  <c r="N48"/>
  <c r="L48"/>
  <c r="J48"/>
  <c r="P47"/>
  <c r="N47"/>
  <c r="L47"/>
  <c r="P46"/>
  <c r="N46"/>
  <c r="L46"/>
  <c r="E46"/>
  <c r="F46" s="1"/>
  <c r="L38"/>
  <c r="J38"/>
  <c r="L37"/>
  <c r="J37"/>
  <c r="N36"/>
  <c r="J36"/>
  <c r="G36" s="1"/>
  <c r="G26"/>
  <c r="R26" s="1"/>
  <c r="O18"/>
  <c r="M18"/>
  <c r="G18"/>
  <c r="S18" s="1"/>
  <c r="F18"/>
  <c r="Q9"/>
  <c r="M9"/>
  <c r="G9" s="1"/>
  <c r="S9" s="1"/>
  <c r="F91" i="27"/>
  <c r="E10" i="24"/>
  <c r="H193" i="23"/>
  <c r="G193"/>
  <c r="F193"/>
  <c r="E193"/>
  <c r="D193"/>
  <c r="C193"/>
  <c r="J192"/>
  <c r="I192"/>
  <c r="J191"/>
  <c r="J193"/>
  <c r="I191"/>
  <c r="I193"/>
  <c r="H188"/>
  <c r="G188"/>
  <c r="F188"/>
  <c r="E188"/>
  <c r="D188"/>
  <c r="C188"/>
  <c r="J187"/>
  <c r="I187"/>
  <c r="J186"/>
  <c r="J188"/>
  <c r="I186"/>
  <c r="I188"/>
  <c r="H183"/>
  <c r="G183"/>
  <c r="F183"/>
  <c r="E183"/>
  <c r="D183"/>
  <c r="C183"/>
  <c r="J182"/>
  <c r="I182"/>
  <c r="J181"/>
  <c r="J183"/>
  <c r="I181"/>
  <c r="I183"/>
  <c r="H178"/>
  <c r="G178"/>
  <c r="F178"/>
  <c r="E178"/>
  <c r="D178"/>
  <c r="C178"/>
  <c r="J177"/>
  <c r="L177"/>
  <c r="L182" s="1"/>
  <c r="L187" s="1"/>
  <c r="L192" s="1"/>
  <c r="I177"/>
  <c r="K177" s="1"/>
  <c r="K182" s="1"/>
  <c r="K187" s="1"/>
  <c r="K192" s="1"/>
  <c r="J176"/>
  <c r="J178"/>
  <c r="I176"/>
  <c r="I178"/>
  <c r="H169"/>
  <c r="G169"/>
  <c r="F169"/>
  <c r="E169"/>
  <c r="D169"/>
  <c r="C169"/>
  <c r="J168"/>
  <c r="I168"/>
  <c r="J167"/>
  <c r="J169"/>
  <c r="I167"/>
  <c r="I169"/>
  <c r="H164"/>
  <c r="G164"/>
  <c r="F164"/>
  <c r="E164"/>
  <c r="D164"/>
  <c r="C164"/>
  <c r="J163"/>
  <c r="I163"/>
  <c r="J162"/>
  <c r="J164"/>
  <c r="I162"/>
  <c r="I164"/>
  <c r="H159"/>
  <c r="G159"/>
  <c r="F159"/>
  <c r="E159"/>
  <c r="D159"/>
  <c r="C159"/>
  <c r="J158"/>
  <c r="I158"/>
  <c r="J157"/>
  <c r="J159"/>
  <c r="I157"/>
  <c r="I159"/>
  <c r="H154"/>
  <c r="G154"/>
  <c r="F154"/>
  <c r="E154"/>
  <c r="D154"/>
  <c r="C154"/>
  <c r="J153"/>
  <c r="L153"/>
  <c r="L158" s="1"/>
  <c r="L163" s="1"/>
  <c r="L168" s="1"/>
  <c r="I153"/>
  <c r="K153" s="1"/>
  <c r="K158" s="1"/>
  <c r="K163" s="1"/>
  <c r="K168" s="1"/>
  <c r="J152"/>
  <c r="J154"/>
  <c r="I152"/>
  <c r="I154"/>
  <c r="H145"/>
  <c r="G145"/>
  <c r="F145"/>
  <c r="E145"/>
  <c r="D145"/>
  <c r="C145"/>
  <c r="J144"/>
  <c r="I144"/>
  <c r="J143"/>
  <c r="J145"/>
  <c r="I143"/>
  <c r="I145"/>
  <c r="H140"/>
  <c r="G140"/>
  <c r="F140"/>
  <c r="E140"/>
  <c r="D140"/>
  <c r="C140"/>
  <c r="J139"/>
  <c r="I139"/>
  <c r="J138"/>
  <c r="J140"/>
  <c r="I138"/>
  <c r="I140"/>
  <c r="H135"/>
  <c r="G135"/>
  <c r="F135"/>
  <c r="E135"/>
  <c r="D135"/>
  <c r="C135"/>
  <c r="J134"/>
  <c r="I134"/>
  <c r="J133"/>
  <c r="J135"/>
  <c r="I133"/>
  <c r="I135"/>
  <c r="H130"/>
  <c r="G130"/>
  <c r="F130"/>
  <c r="E130"/>
  <c r="D130"/>
  <c r="C130"/>
  <c r="J129"/>
  <c r="L129"/>
  <c r="L134" s="1"/>
  <c r="L139" s="1"/>
  <c r="L144" s="1"/>
  <c r="I129"/>
  <c r="K129" s="1"/>
  <c r="K134" s="1"/>
  <c r="K139" s="1"/>
  <c r="K144" s="1"/>
  <c r="J128"/>
  <c r="J130"/>
  <c r="I128"/>
  <c r="I130"/>
  <c r="H121"/>
  <c r="G121"/>
  <c r="F121"/>
  <c r="E121"/>
  <c r="D121"/>
  <c r="C121"/>
  <c r="J120"/>
  <c r="I120"/>
  <c r="J119"/>
  <c r="J121"/>
  <c r="I119"/>
  <c r="I121"/>
  <c r="H116"/>
  <c r="G116"/>
  <c r="F116"/>
  <c r="E116"/>
  <c r="D116"/>
  <c r="C116"/>
  <c r="J115"/>
  <c r="I115"/>
  <c r="J114"/>
  <c r="J116"/>
  <c r="I114"/>
  <c r="I116"/>
  <c r="H111"/>
  <c r="G111"/>
  <c r="F111"/>
  <c r="E111"/>
  <c r="D111"/>
  <c r="C111"/>
  <c r="J110"/>
  <c r="I110"/>
  <c r="J109"/>
  <c r="J111"/>
  <c r="I109"/>
  <c r="I111"/>
  <c r="H106"/>
  <c r="G106"/>
  <c r="F106"/>
  <c r="E106"/>
  <c r="D106"/>
  <c r="C106"/>
  <c r="J105"/>
  <c r="L105"/>
  <c r="L110" s="1"/>
  <c r="L115" s="1"/>
  <c r="L120" s="1"/>
  <c r="I105"/>
  <c r="K105" s="1"/>
  <c r="K110" s="1"/>
  <c r="K115" s="1"/>
  <c r="K120" s="1"/>
  <c r="J104"/>
  <c r="J106"/>
  <c r="I104"/>
  <c r="H97"/>
  <c r="G97"/>
  <c r="F97"/>
  <c r="E97"/>
  <c r="D97"/>
  <c r="C97"/>
  <c r="J96"/>
  <c r="I96"/>
  <c r="J95"/>
  <c r="J97"/>
  <c r="I95"/>
  <c r="I97"/>
  <c r="H92"/>
  <c r="G92"/>
  <c r="F92"/>
  <c r="E92"/>
  <c r="D92"/>
  <c r="C92"/>
  <c r="J91"/>
  <c r="I91"/>
  <c r="J90"/>
  <c r="J92"/>
  <c r="I90"/>
  <c r="I92"/>
  <c r="H87"/>
  <c r="G87"/>
  <c r="F87"/>
  <c r="E87"/>
  <c r="D87"/>
  <c r="C87"/>
  <c r="J86"/>
  <c r="I86"/>
  <c r="J85"/>
  <c r="J87"/>
  <c r="I85"/>
  <c r="I87"/>
  <c r="H82"/>
  <c r="G82"/>
  <c r="F82"/>
  <c r="E82"/>
  <c r="D82"/>
  <c r="C82"/>
  <c r="J81"/>
  <c r="L81"/>
  <c r="L86" s="1"/>
  <c r="L91" s="1"/>
  <c r="L96" s="1"/>
  <c r="I81"/>
  <c r="K81" s="1"/>
  <c r="K86" s="1"/>
  <c r="K91" s="1"/>
  <c r="K96" s="1"/>
  <c r="J80"/>
  <c r="J82"/>
  <c r="I80"/>
  <c r="H73"/>
  <c r="G73"/>
  <c r="F73"/>
  <c r="E73"/>
  <c r="D73"/>
  <c r="C73"/>
  <c r="J72"/>
  <c r="I72"/>
  <c r="J71"/>
  <c r="J73"/>
  <c r="I71"/>
  <c r="I73"/>
  <c r="H68"/>
  <c r="G68"/>
  <c r="F68"/>
  <c r="E68"/>
  <c r="D68"/>
  <c r="C68"/>
  <c r="J67"/>
  <c r="I67"/>
  <c r="J66"/>
  <c r="J68"/>
  <c r="I66"/>
  <c r="I68"/>
  <c r="H63"/>
  <c r="G63"/>
  <c r="F63"/>
  <c r="E63"/>
  <c r="D63"/>
  <c r="C63"/>
  <c r="J62"/>
  <c r="I62"/>
  <c r="J61"/>
  <c r="J63"/>
  <c r="I61"/>
  <c r="I63"/>
  <c r="H58"/>
  <c r="G58"/>
  <c r="F58"/>
  <c r="E58"/>
  <c r="D58"/>
  <c r="C58"/>
  <c r="J57"/>
  <c r="L57"/>
  <c r="L62" s="1"/>
  <c r="L67" s="1"/>
  <c r="L72" s="1"/>
  <c r="I57"/>
  <c r="K57" s="1"/>
  <c r="K62" s="1"/>
  <c r="K67" s="1"/>
  <c r="K72" s="1"/>
  <c r="J56"/>
  <c r="J58"/>
  <c r="I56"/>
  <c r="H49"/>
  <c r="G49"/>
  <c r="F49"/>
  <c r="E49"/>
  <c r="D49"/>
  <c r="C49"/>
  <c r="J48"/>
  <c r="I48"/>
  <c r="J47"/>
  <c r="J49"/>
  <c r="I47"/>
  <c r="I49"/>
  <c r="H44"/>
  <c r="G44"/>
  <c r="F44"/>
  <c r="E44"/>
  <c r="D44"/>
  <c r="C44"/>
  <c r="J43"/>
  <c r="I43"/>
  <c r="J42"/>
  <c r="J44"/>
  <c r="I42"/>
  <c r="I44"/>
  <c r="H39"/>
  <c r="G39"/>
  <c r="F39"/>
  <c r="E39"/>
  <c r="D39"/>
  <c r="C39"/>
  <c r="J38"/>
  <c r="I38"/>
  <c r="J37"/>
  <c r="J39"/>
  <c r="I37"/>
  <c r="I39"/>
  <c r="H34"/>
  <c r="G34"/>
  <c r="F34"/>
  <c r="E34"/>
  <c r="D34"/>
  <c r="C34"/>
  <c r="J33"/>
  <c r="L33"/>
  <c r="L38" s="1"/>
  <c r="L43" s="1"/>
  <c r="L48" s="1"/>
  <c r="I33"/>
  <c r="K33" s="1"/>
  <c r="K38" s="1"/>
  <c r="K43" s="1"/>
  <c r="K48" s="1"/>
  <c r="J32"/>
  <c r="J34"/>
  <c r="I32"/>
  <c r="H25"/>
  <c r="G25"/>
  <c r="F25"/>
  <c r="E25"/>
  <c r="D25"/>
  <c r="C25"/>
  <c r="J24"/>
  <c r="I24"/>
  <c r="J23"/>
  <c r="J25"/>
  <c r="I23"/>
  <c r="I25"/>
  <c r="H20"/>
  <c r="G20"/>
  <c r="F20"/>
  <c r="E20"/>
  <c r="D20"/>
  <c r="C20"/>
  <c r="J19"/>
  <c r="I19"/>
  <c r="J18"/>
  <c r="J20"/>
  <c r="I18"/>
  <c r="I20"/>
  <c r="H15"/>
  <c r="G15"/>
  <c r="F15"/>
  <c r="E15"/>
  <c r="D15"/>
  <c r="C15"/>
  <c r="J14"/>
  <c r="I14"/>
  <c r="J13"/>
  <c r="J15"/>
  <c r="I13"/>
  <c r="I15"/>
  <c r="H10"/>
  <c r="G10"/>
  <c r="F10"/>
  <c r="E10"/>
  <c r="D10"/>
  <c r="C10"/>
  <c r="J9"/>
  <c r="L9"/>
  <c r="L14" s="1"/>
  <c r="L19" s="1"/>
  <c r="L24" s="1"/>
  <c r="I9"/>
  <c r="K9" s="1"/>
  <c r="K14" s="1"/>
  <c r="K19" s="1"/>
  <c r="K24" s="1"/>
  <c r="K25" s="1"/>
  <c r="J8"/>
  <c r="J10"/>
  <c r="I8"/>
  <c r="H193" i="22"/>
  <c r="G193"/>
  <c r="F193"/>
  <c r="E193"/>
  <c r="D193"/>
  <c r="C193"/>
  <c r="J192"/>
  <c r="I192"/>
  <c r="J191"/>
  <c r="J193"/>
  <c r="I191"/>
  <c r="I193"/>
  <c r="H188"/>
  <c r="G188"/>
  <c r="F188"/>
  <c r="E188"/>
  <c r="D188"/>
  <c r="C188"/>
  <c r="J187"/>
  <c r="I187"/>
  <c r="J186"/>
  <c r="J188"/>
  <c r="I186"/>
  <c r="I188"/>
  <c r="H183"/>
  <c r="G183"/>
  <c r="F183"/>
  <c r="E183"/>
  <c r="D183"/>
  <c r="C183"/>
  <c r="J182"/>
  <c r="I182"/>
  <c r="J181"/>
  <c r="J183"/>
  <c r="I181"/>
  <c r="I183"/>
  <c r="H178"/>
  <c r="G178"/>
  <c r="F178"/>
  <c r="E178"/>
  <c r="D178"/>
  <c r="C178"/>
  <c r="J177"/>
  <c r="L177"/>
  <c r="L182" s="1"/>
  <c r="L187" s="1"/>
  <c r="L192" s="1"/>
  <c r="I177"/>
  <c r="K177" s="1"/>
  <c r="K182" s="1"/>
  <c r="K187" s="1"/>
  <c r="K192" s="1"/>
  <c r="J176"/>
  <c r="J178"/>
  <c r="I176"/>
  <c r="H169"/>
  <c r="G169"/>
  <c r="F169"/>
  <c r="E169"/>
  <c r="D169"/>
  <c r="C169"/>
  <c r="J168"/>
  <c r="I168"/>
  <c r="J167"/>
  <c r="J169"/>
  <c r="I167"/>
  <c r="I169"/>
  <c r="H164"/>
  <c r="G164"/>
  <c r="F164"/>
  <c r="E164"/>
  <c r="D164"/>
  <c r="C164"/>
  <c r="J163"/>
  <c r="I163"/>
  <c r="J162"/>
  <c r="J164"/>
  <c r="I162"/>
  <c r="I164"/>
  <c r="H159"/>
  <c r="G159"/>
  <c r="F159"/>
  <c r="E159"/>
  <c r="D159"/>
  <c r="C159"/>
  <c r="J158"/>
  <c r="I158"/>
  <c r="J157"/>
  <c r="J159"/>
  <c r="I157"/>
  <c r="I159"/>
  <c r="H154"/>
  <c r="G154"/>
  <c r="F154"/>
  <c r="E154"/>
  <c r="D154"/>
  <c r="C154"/>
  <c r="J153"/>
  <c r="L153"/>
  <c r="L158" s="1"/>
  <c r="L163" s="1"/>
  <c r="L168" s="1"/>
  <c r="I153"/>
  <c r="K153" s="1"/>
  <c r="K158" s="1"/>
  <c r="K163" s="1"/>
  <c r="K168" s="1"/>
  <c r="J152"/>
  <c r="J154"/>
  <c r="I152"/>
  <c r="H145"/>
  <c r="G145"/>
  <c r="F145"/>
  <c r="E145"/>
  <c r="D145"/>
  <c r="C145"/>
  <c r="J144"/>
  <c r="I144"/>
  <c r="J143"/>
  <c r="J145"/>
  <c r="I143"/>
  <c r="I145"/>
  <c r="H140"/>
  <c r="G140"/>
  <c r="F140"/>
  <c r="E140"/>
  <c r="D140"/>
  <c r="C140"/>
  <c r="J139"/>
  <c r="I139"/>
  <c r="J138"/>
  <c r="J140"/>
  <c r="I138"/>
  <c r="I140"/>
  <c r="H135"/>
  <c r="G135"/>
  <c r="F135"/>
  <c r="E135"/>
  <c r="D135"/>
  <c r="C135"/>
  <c r="J134"/>
  <c r="I134"/>
  <c r="J133"/>
  <c r="J135"/>
  <c r="I133"/>
  <c r="I135"/>
  <c r="H130"/>
  <c r="G130"/>
  <c r="F130"/>
  <c r="E130"/>
  <c r="D130"/>
  <c r="C130"/>
  <c r="J129"/>
  <c r="L129"/>
  <c r="L134" s="1"/>
  <c r="L139" s="1"/>
  <c r="L144" s="1"/>
  <c r="I129"/>
  <c r="K129" s="1"/>
  <c r="K134" s="1"/>
  <c r="K139" s="1"/>
  <c r="K144" s="1"/>
  <c r="J128"/>
  <c r="J130"/>
  <c r="I128"/>
  <c r="H121"/>
  <c r="G121"/>
  <c r="F121"/>
  <c r="E121"/>
  <c r="D121"/>
  <c r="C121"/>
  <c r="J120"/>
  <c r="I120"/>
  <c r="J119"/>
  <c r="J121"/>
  <c r="I119"/>
  <c r="I121"/>
  <c r="H116"/>
  <c r="G116"/>
  <c r="F116"/>
  <c r="E116"/>
  <c r="D116"/>
  <c r="C116"/>
  <c r="J115"/>
  <c r="I115"/>
  <c r="J114"/>
  <c r="J116"/>
  <c r="I114"/>
  <c r="I116"/>
  <c r="H111"/>
  <c r="G111"/>
  <c r="F111"/>
  <c r="E111"/>
  <c r="D111"/>
  <c r="C111"/>
  <c r="J110"/>
  <c r="I110"/>
  <c r="J109"/>
  <c r="J111"/>
  <c r="I109"/>
  <c r="I111"/>
  <c r="H106"/>
  <c r="G106"/>
  <c r="F106"/>
  <c r="E106"/>
  <c r="D106"/>
  <c r="C106"/>
  <c r="J105"/>
  <c r="L105"/>
  <c r="L110" s="1"/>
  <c r="L115" s="1"/>
  <c r="L120" s="1"/>
  <c r="I105"/>
  <c r="K105" s="1"/>
  <c r="K110" s="1"/>
  <c r="K115" s="1"/>
  <c r="K120" s="1"/>
  <c r="K121" s="1"/>
  <c r="J104"/>
  <c r="J106"/>
  <c r="I104"/>
  <c r="I106"/>
  <c r="H97"/>
  <c r="G97"/>
  <c r="F97"/>
  <c r="E97"/>
  <c r="D97"/>
  <c r="C97"/>
  <c r="J96"/>
  <c r="I96"/>
  <c r="J95"/>
  <c r="J97"/>
  <c r="I95"/>
  <c r="I97"/>
  <c r="H92"/>
  <c r="G92"/>
  <c r="F92"/>
  <c r="E92"/>
  <c r="D92"/>
  <c r="C92"/>
  <c r="J91"/>
  <c r="I91"/>
  <c r="J90"/>
  <c r="J92"/>
  <c r="I90"/>
  <c r="I92"/>
  <c r="H87"/>
  <c r="G87"/>
  <c r="F87"/>
  <c r="E87"/>
  <c r="D87"/>
  <c r="C87"/>
  <c r="J86"/>
  <c r="I86"/>
  <c r="J85"/>
  <c r="J87"/>
  <c r="I85"/>
  <c r="I87"/>
  <c r="H82"/>
  <c r="G82"/>
  <c r="F82"/>
  <c r="E82"/>
  <c r="D82"/>
  <c r="C82"/>
  <c r="J81"/>
  <c r="L81"/>
  <c r="L86" s="1"/>
  <c r="L91" s="1"/>
  <c r="L96" s="1"/>
  <c r="I81"/>
  <c r="K81" s="1"/>
  <c r="J80"/>
  <c r="J82"/>
  <c r="I80"/>
  <c r="I82"/>
  <c r="H73"/>
  <c r="G73"/>
  <c r="F73"/>
  <c r="E73"/>
  <c r="D73"/>
  <c r="C73"/>
  <c r="J72"/>
  <c r="I72"/>
  <c r="J71"/>
  <c r="J73"/>
  <c r="I71"/>
  <c r="I73"/>
  <c r="H68"/>
  <c r="G68"/>
  <c r="F68"/>
  <c r="E68"/>
  <c r="D68"/>
  <c r="C68"/>
  <c r="J67"/>
  <c r="I67"/>
  <c r="J66"/>
  <c r="J68"/>
  <c r="I66"/>
  <c r="I68"/>
  <c r="H63"/>
  <c r="G63"/>
  <c r="F63"/>
  <c r="E63"/>
  <c r="D63"/>
  <c r="C63"/>
  <c r="J62"/>
  <c r="I62"/>
  <c r="J61"/>
  <c r="J63"/>
  <c r="I61"/>
  <c r="I63"/>
  <c r="H58"/>
  <c r="G58"/>
  <c r="F58"/>
  <c r="E58"/>
  <c r="D58"/>
  <c r="C58"/>
  <c r="J57"/>
  <c r="L57"/>
  <c r="L62" s="1"/>
  <c r="L67" s="1"/>
  <c r="L72" s="1"/>
  <c r="I57"/>
  <c r="K57" s="1"/>
  <c r="J56"/>
  <c r="J58"/>
  <c r="I56"/>
  <c r="I58"/>
  <c r="H49"/>
  <c r="G49"/>
  <c r="F49"/>
  <c r="E49"/>
  <c r="D49"/>
  <c r="C49"/>
  <c r="J48"/>
  <c r="I48"/>
  <c r="J47"/>
  <c r="J49"/>
  <c r="I47"/>
  <c r="I49"/>
  <c r="H44"/>
  <c r="G44"/>
  <c r="F44"/>
  <c r="E44"/>
  <c r="D44"/>
  <c r="C44"/>
  <c r="J43"/>
  <c r="I43"/>
  <c r="J42"/>
  <c r="J44"/>
  <c r="I42"/>
  <c r="I44"/>
  <c r="H39"/>
  <c r="G39"/>
  <c r="F39"/>
  <c r="E39"/>
  <c r="D39"/>
  <c r="C39"/>
  <c r="J38"/>
  <c r="I38"/>
  <c r="J37"/>
  <c r="J39"/>
  <c r="I37"/>
  <c r="I39"/>
  <c r="H34"/>
  <c r="G34"/>
  <c r="F34"/>
  <c r="E34"/>
  <c r="D34"/>
  <c r="C34"/>
  <c r="J33"/>
  <c r="L33"/>
  <c r="L38" s="1"/>
  <c r="L43" s="1"/>
  <c r="L48" s="1"/>
  <c r="I33"/>
  <c r="K33" s="1"/>
  <c r="J32"/>
  <c r="J34"/>
  <c r="I32"/>
  <c r="I34"/>
  <c r="H25"/>
  <c r="G25"/>
  <c r="F25"/>
  <c r="E25"/>
  <c r="D25"/>
  <c r="C25"/>
  <c r="J24"/>
  <c r="I24"/>
  <c r="J23"/>
  <c r="J25"/>
  <c r="I23"/>
  <c r="I25"/>
  <c r="H20"/>
  <c r="G20"/>
  <c r="F20"/>
  <c r="E20"/>
  <c r="D20"/>
  <c r="C20"/>
  <c r="J19"/>
  <c r="I19"/>
  <c r="J18"/>
  <c r="J20"/>
  <c r="I18"/>
  <c r="I20"/>
  <c r="H15"/>
  <c r="G15"/>
  <c r="F15"/>
  <c r="E15"/>
  <c r="D15"/>
  <c r="C15"/>
  <c r="J14"/>
  <c r="I14"/>
  <c r="J13"/>
  <c r="J15"/>
  <c r="I13"/>
  <c r="I15"/>
  <c r="H10"/>
  <c r="G10"/>
  <c r="F10"/>
  <c r="E10"/>
  <c r="D10"/>
  <c r="C10"/>
  <c r="J9"/>
  <c r="L9"/>
  <c r="L14" s="1"/>
  <c r="L19" s="1"/>
  <c r="L24" s="1"/>
  <c r="I9"/>
  <c r="K9" s="1"/>
  <c r="J8"/>
  <c r="J10"/>
  <c r="I8"/>
  <c r="I10"/>
  <c r="T115" i="21"/>
  <c r="L115"/>
  <c r="AC115" s="1"/>
  <c r="A94"/>
  <c r="A95" s="1"/>
  <c r="A96"/>
  <c r="A97" s="1"/>
  <c r="A98" s="1"/>
  <c r="A99" s="1"/>
  <c r="A100" s="1"/>
  <c r="A101" s="1"/>
  <c r="A102" s="1"/>
  <c r="A103" s="1"/>
  <c r="A104" s="1"/>
  <c r="A105" s="1"/>
  <c r="A106" s="1"/>
  <c r="A107" s="1"/>
  <c r="A108" s="1"/>
  <c r="A109" s="1"/>
  <c r="A110" s="1"/>
  <c r="A111" s="1"/>
  <c r="A112" s="1"/>
  <c r="A113" s="1"/>
  <c r="A114" s="1"/>
  <c r="U79"/>
  <c r="T79"/>
  <c r="L79"/>
  <c r="T78"/>
  <c r="T75"/>
  <c r="AC75"/>
  <c r="T73"/>
  <c r="T72"/>
  <c r="L72"/>
  <c r="AC72"/>
  <c r="T71"/>
  <c r="AC69"/>
  <c r="T69"/>
  <c r="T63"/>
  <c r="T61"/>
  <c r="T60"/>
  <c r="AC59"/>
  <c r="T59"/>
  <c r="AC58"/>
  <c r="T58"/>
  <c r="T52"/>
  <c r="L52"/>
  <c r="AC48"/>
  <c r="T48"/>
  <c r="T47"/>
  <c r="AC47"/>
  <c r="T46"/>
  <c r="AC46"/>
  <c r="L43"/>
  <c r="T42"/>
  <c r="L42"/>
  <c r="T41"/>
  <c r="A38"/>
  <c r="A39"/>
  <c r="A40" s="1"/>
  <c r="A41"/>
  <c r="A42" s="1"/>
  <c r="A43" s="1"/>
  <c r="A44" s="1"/>
  <c r="A45"/>
  <c r="A46" s="1"/>
  <c r="A47" s="1"/>
  <c r="A48" s="1"/>
  <c r="A49" s="1"/>
  <c r="T15"/>
  <c r="A13"/>
  <c r="A14" s="1"/>
  <c r="A15" s="1"/>
  <c r="A16" s="1"/>
  <c r="A17"/>
  <c r="A18" s="1"/>
  <c r="A19" s="1"/>
  <c r="A20" s="1"/>
  <c r="A21" s="1"/>
  <c r="A22" s="1"/>
  <c r="A23" s="1"/>
  <c r="A24" s="1"/>
  <c r="A25" s="1"/>
  <c r="A26" s="1"/>
  <c r="A27" s="1"/>
  <c r="A28" s="1"/>
  <c r="A29" s="1"/>
  <c r="A30" s="1"/>
  <c r="A31" s="1"/>
  <c r="A32" s="1"/>
  <c r="A33" s="1"/>
  <c r="A34" s="1"/>
  <c r="A35" s="1"/>
  <c r="L11"/>
  <c r="H193" i="20"/>
  <c r="G193"/>
  <c r="F193"/>
  <c r="E193"/>
  <c r="D193"/>
  <c r="C193"/>
  <c r="J192"/>
  <c r="I192"/>
  <c r="J191"/>
  <c r="J193" s="1"/>
  <c r="I191"/>
  <c r="I193" s="1"/>
  <c r="H188"/>
  <c r="G188"/>
  <c r="F188"/>
  <c r="E188"/>
  <c r="D188"/>
  <c r="C188"/>
  <c r="J187"/>
  <c r="I187"/>
  <c r="J186"/>
  <c r="J188" s="1"/>
  <c r="I186"/>
  <c r="I188" s="1"/>
  <c r="H183"/>
  <c r="G183"/>
  <c r="F183"/>
  <c r="E183"/>
  <c r="D183"/>
  <c r="C183"/>
  <c r="J182"/>
  <c r="I182"/>
  <c r="J181"/>
  <c r="J183" s="1"/>
  <c r="I181"/>
  <c r="I183" s="1"/>
  <c r="H178"/>
  <c r="G178"/>
  <c r="F178"/>
  <c r="E178"/>
  <c r="D178"/>
  <c r="C178"/>
  <c r="J177"/>
  <c r="L177" s="1"/>
  <c r="L182"/>
  <c r="L187" s="1"/>
  <c r="L192" s="1"/>
  <c r="I177"/>
  <c r="K177"/>
  <c r="J176"/>
  <c r="J178"/>
  <c r="I176"/>
  <c r="I178"/>
  <c r="H169"/>
  <c r="G169"/>
  <c r="F169"/>
  <c r="E169"/>
  <c r="D169"/>
  <c r="C169"/>
  <c r="J168"/>
  <c r="I168"/>
  <c r="J167"/>
  <c r="J169"/>
  <c r="I167"/>
  <c r="I169"/>
  <c r="H164"/>
  <c r="G164"/>
  <c r="F164"/>
  <c r="E164"/>
  <c r="D164"/>
  <c r="C164"/>
  <c r="J163"/>
  <c r="I163"/>
  <c r="J162"/>
  <c r="J164"/>
  <c r="I162"/>
  <c r="I164"/>
  <c r="H159"/>
  <c r="G159"/>
  <c r="F159"/>
  <c r="E159"/>
  <c r="D159"/>
  <c r="C159"/>
  <c r="J158"/>
  <c r="I158"/>
  <c r="J157"/>
  <c r="J159"/>
  <c r="I157"/>
  <c r="I159"/>
  <c r="H154"/>
  <c r="G154"/>
  <c r="F154"/>
  <c r="E154"/>
  <c r="D154"/>
  <c r="C154"/>
  <c r="J153"/>
  <c r="L153"/>
  <c r="L158" s="1"/>
  <c r="I153"/>
  <c r="K153" s="1"/>
  <c r="J152"/>
  <c r="J154" s="1"/>
  <c r="I152"/>
  <c r="I154" s="1"/>
  <c r="H145"/>
  <c r="G145"/>
  <c r="F145"/>
  <c r="E145"/>
  <c r="D145"/>
  <c r="C145"/>
  <c r="J144"/>
  <c r="I144"/>
  <c r="J143"/>
  <c r="J145" s="1"/>
  <c r="I143"/>
  <c r="I145" s="1"/>
  <c r="H140"/>
  <c r="G140"/>
  <c r="F140"/>
  <c r="E140"/>
  <c r="D140"/>
  <c r="C140"/>
  <c r="J139"/>
  <c r="I139"/>
  <c r="J138"/>
  <c r="J140" s="1"/>
  <c r="I138"/>
  <c r="I140" s="1"/>
  <c r="H135"/>
  <c r="G135"/>
  <c r="F135"/>
  <c r="E135"/>
  <c r="D135"/>
  <c r="C135"/>
  <c r="J134"/>
  <c r="I134"/>
  <c r="J133"/>
  <c r="J135" s="1"/>
  <c r="I133"/>
  <c r="I135" s="1"/>
  <c r="H130"/>
  <c r="G130"/>
  <c r="F130"/>
  <c r="E130"/>
  <c r="D130"/>
  <c r="C130"/>
  <c r="J129"/>
  <c r="L129" s="1"/>
  <c r="L134"/>
  <c r="I129"/>
  <c r="K129"/>
  <c r="J128"/>
  <c r="J130"/>
  <c r="I128"/>
  <c r="I130"/>
  <c r="H121"/>
  <c r="G121"/>
  <c r="F121"/>
  <c r="E121"/>
  <c r="D121"/>
  <c r="C121"/>
  <c r="J120"/>
  <c r="I120"/>
  <c r="J119"/>
  <c r="J121"/>
  <c r="I119"/>
  <c r="I121"/>
  <c r="H116"/>
  <c r="G116"/>
  <c r="F116"/>
  <c r="E116"/>
  <c r="D116"/>
  <c r="C116"/>
  <c r="J115"/>
  <c r="I115"/>
  <c r="J114"/>
  <c r="J116"/>
  <c r="I114"/>
  <c r="I116"/>
  <c r="H111"/>
  <c r="G111"/>
  <c r="F111"/>
  <c r="E111"/>
  <c r="D111"/>
  <c r="C111"/>
  <c r="J110"/>
  <c r="I110"/>
  <c r="J109"/>
  <c r="J111"/>
  <c r="I109"/>
  <c r="I111"/>
  <c r="H106"/>
  <c r="G106"/>
  <c r="F106"/>
  <c r="E106"/>
  <c r="D106"/>
  <c r="C106"/>
  <c r="J105"/>
  <c r="L105"/>
  <c r="I105"/>
  <c r="K105"/>
  <c r="J104"/>
  <c r="J106"/>
  <c r="I104"/>
  <c r="I106"/>
  <c r="H97"/>
  <c r="G97"/>
  <c r="F97"/>
  <c r="E97"/>
  <c r="D97"/>
  <c r="C97"/>
  <c r="J96"/>
  <c r="I96"/>
  <c r="J95"/>
  <c r="J97"/>
  <c r="I95"/>
  <c r="I97"/>
  <c r="H92"/>
  <c r="G92"/>
  <c r="F92"/>
  <c r="E92"/>
  <c r="D92"/>
  <c r="C92"/>
  <c r="J91"/>
  <c r="I91"/>
  <c r="J90"/>
  <c r="J92"/>
  <c r="I90"/>
  <c r="I92"/>
  <c r="H87"/>
  <c r="G87"/>
  <c r="F87"/>
  <c r="E87"/>
  <c r="D87"/>
  <c r="C87"/>
  <c r="J86"/>
  <c r="I86"/>
  <c r="J85"/>
  <c r="J87"/>
  <c r="I85"/>
  <c r="I87"/>
  <c r="H82"/>
  <c r="G82"/>
  <c r="F82"/>
  <c r="E82"/>
  <c r="D82"/>
  <c r="C82"/>
  <c r="J81"/>
  <c r="L81"/>
  <c r="L86" s="1"/>
  <c r="I81"/>
  <c r="K81" s="1"/>
  <c r="J80"/>
  <c r="J82" s="1"/>
  <c r="I80"/>
  <c r="I82" s="1"/>
  <c r="H73"/>
  <c r="G73"/>
  <c r="F73"/>
  <c r="E73"/>
  <c r="D73"/>
  <c r="C73"/>
  <c r="J72"/>
  <c r="I72"/>
  <c r="J71"/>
  <c r="J73" s="1"/>
  <c r="I71"/>
  <c r="I73" s="1"/>
  <c r="H68"/>
  <c r="G68"/>
  <c r="F68"/>
  <c r="E68"/>
  <c r="D68"/>
  <c r="C68"/>
  <c r="J67"/>
  <c r="I67"/>
  <c r="J66"/>
  <c r="J68" s="1"/>
  <c r="I66"/>
  <c r="I68" s="1"/>
  <c r="H63"/>
  <c r="G63"/>
  <c r="F63"/>
  <c r="E63"/>
  <c r="D63"/>
  <c r="C63"/>
  <c r="J62"/>
  <c r="I62"/>
  <c r="J61"/>
  <c r="J63" s="1"/>
  <c r="I61"/>
  <c r="I63" s="1"/>
  <c r="H58"/>
  <c r="G58"/>
  <c r="F58"/>
  <c r="E58"/>
  <c r="D58"/>
  <c r="C58"/>
  <c r="J57"/>
  <c r="L57" s="1"/>
  <c r="I57"/>
  <c r="K57" s="1"/>
  <c r="J56"/>
  <c r="J58" s="1"/>
  <c r="I56"/>
  <c r="I58" s="1"/>
  <c r="H49"/>
  <c r="G49"/>
  <c r="F49"/>
  <c r="E49"/>
  <c r="D49"/>
  <c r="C49"/>
  <c r="J48"/>
  <c r="I48"/>
  <c r="J47"/>
  <c r="J49" s="1"/>
  <c r="I47"/>
  <c r="I49" s="1"/>
  <c r="H44"/>
  <c r="G44"/>
  <c r="F44"/>
  <c r="E44"/>
  <c r="D44"/>
  <c r="C44"/>
  <c r="J43"/>
  <c r="I43"/>
  <c r="J42"/>
  <c r="J44" s="1"/>
  <c r="I42"/>
  <c r="I44"/>
  <c r="H39"/>
  <c r="G39"/>
  <c r="F39"/>
  <c r="E39"/>
  <c r="D39"/>
  <c r="C39"/>
  <c r="J38"/>
  <c r="I38"/>
  <c r="J37"/>
  <c r="J39"/>
  <c r="I37"/>
  <c r="I39"/>
  <c r="H34"/>
  <c r="G34"/>
  <c r="F34"/>
  <c r="E34"/>
  <c r="D34"/>
  <c r="C34"/>
  <c r="J33"/>
  <c r="L33"/>
  <c r="L38" s="1"/>
  <c r="L43" s="1"/>
  <c r="I33"/>
  <c r="K33" s="1"/>
  <c r="J32"/>
  <c r="J34" s="1"/>
  <c r="I32"/>
  <c r="I34" s="1"/>
  <c r="H25"/>
  <c r="G25"/>
  <c r="F25"/>
  <c r="E25"/>
  <c r="D25"/>
  <c r="C25"/>
  <c r="J24"/>
  <c r="I24"/>
  <c r="J23"/>
  <c r="J25" s="1"/>
  <c r="I23"/>
  <c r="I25" s="1"/>
  <c r="H20"/>
  <c r="G20"/>
  <c r="F20"/>
  <c r="E20"/>
  <c r="D20"/>
  <c r="C20"/>
  <c r="J19"/>
  <c r="I19"/>
  <c r="J18"/>
  <c r="J20" s="1"/>
  <c r="I18"/>
  <c r="I20" s="1"/>
  <c r="H15"/>
  <c r="G15"/>
  <c r="F15"/>
  <c r="E15"/>
  <c r="D15"/>
  <c r="C15"/>
  <c r="J14"/>
  <c r="I14"/>
  <c r="J13"/>
  <c r="J15" s="1"/>
  <c r="I13"/>
  <c r="I15" s="1"/>
  <c r="H10"/>
  <c r="G10"/>
  <c r="F10"/>
  <c r="E10"/>
  <c r="D10"/>
  <c r="C10"/>
  <c r="J9"/>
  <c r="L9" s="1"/>
  <c r="L14"/>
  <c r="L19" s="1"/>
  <c r="L24" s="1"/>
  <c r="I9"/>
  <c r="K9"/>
  <c r="J8"/>
  <c r="J10"/>
  <c r="I8"/>
  <c r="O62" i="13"/>
  <c r="N62"/>
  <c r="L62"/>
  <c r="K62"/>
  <c r="J62"/>
  <c r="I61"/>
  <c r="D61"/>
  <c r="P61" s="1"/>
  <c r="I60"/>
  <c r="I62" s="1"/>
  <c r="H60"/>
  <c r="H62" s="1"/>
  <c r="G60"/>
  <c r="G62" s="1"/>
  <c r="F60"/>
  <c r="F62" s="1"/>
  <c r="E60"/>
  <c r="E62" s="1"/>
  <c r="D60"/>
  <c r="D62" s="1"/>
  <c r="P62"/>
  <c r="P60" s="1"/>
  <c r="K55"/>
  <c r="F55"/>
  <c r="E55"/>
  <c r="O54"/>
  <c r="N54"/>
  <c r="J54"/>
  <c r="I54"/>
  <c r="I55" s="1"/>
  <c r="H54"/>
  <c r="P54" s="1"/>
  <c r="O53"/>
  <c r="O55" s="1"/>
  <c r="N53"/>
  <c r="N55" s="1"/>
  <c r="M53"/>
  <c r="M55" s="1"/>
  <c r="L53"/>
  <c r="L55" s="1"/>
  <c r="J53"/>
  <c r="J55" s="1"/>
  <c r="G53"/>
  <c r="G55" s="1"/>
  <c r="D53"/>
  <c r="D55" s="1"/>
  <c r="O48"/>
  <c r="M48"/>
  <c r="L48"/>
  <c r="I48"/>
  <c r="E48"/>
  <c r="D48"/>
  <c r="D46"/>
  <c r="P47"/>
  <c r="N46"/>
  <c r="N48" s="1"/>
  <c r="K46"/>
  <c r="K48" s="1"/>
  <c r="J46"/>
  <c r="J48" s="1"/>
  <c r="H46"/>
  <c r="H48" s="1"/>
  <c r="G46"/>
  <c r="G48" s="1"/>
  <c r="F46"/>
  <c r="E46"/>
  <c r="O42"/>
  <c r="N42"/>
  <c r="M42"/>
  <c r="L42"/>
  <c r="K42"/>
  <c r="J42"/>
  <c r="I42"/>
  <c r="I40" s="1"/>
  <c r="H42"/>
  <c r="G42"/>
  <c r="F42"/>
  <c r="E42"/>
  <c r="D42"/>
  <c r="P42" s="1"/>
  <c r="P40" s="1"/>
  <c r="P41"/>
  <c r="O36"/>
  <c r="N36"/>
  <c r="N34"/>
  <c r="L36"/>
  <c r="K36"/>
  <c r="J36"/>
  <c r="I36"/>
  <c r="H36"/>
  <c r="G36"/>
  <c r="F36"/>
  <c r="E36"/>
  <c r="D36"/>
  <c r="P36"/>
  <c r="P35"/>
  <c r="P45" i="10" s="1"/>
  <c r="M34" i="13"/>
  <c r="O30"/>
  <c r="N30"/>
  <c r="M30"/>
  <c r="L30"/>
  <c r="K30"/>
  <c r="J30"/>
  <c r="I30"/>
  <c r="H30"/>
  <c r="G30"/>
  <c r="F30"/>
  <c r="E30"/>
  <c r="D30"/>
  <c r="P30"/>
  <c r="P28" s="1"/>
  <c r="P29"/>
  <c r="O24"/>
  <c r="N24"/>
  <c r="M24"/>
  <c r="L24"/>
  <c r="K24"/>
  <c r="J24"/>
  <c r="I24"/>
  <c r="H24"/>
  <c r="G24"/>
  <c r="F24"/>
  <c r="E24"/>
  <c r="D24"/>
  <c r="P24" s="1"/>
  <c r="P22"/>
  <c r="P23"/>
  <c r="O18"/>
  <c r="N18"/>
  <c r="M18"/>
  <c r="L18"/>
  <c r="K18"/>
  <c r="J18"/>
  <c r="I18"/>
  <c r="H18"/>
  <c r="G18"/>
  <c r="F18"/>
  <c r="E18"/>
  <c r="D18"/>
  <c r="P18"/>
  <c r="P17"/>
  <c r="P16"/>
  <c r="P15"/>
  <c r="P14"/>
  <c r="O10"/>
  <c r="N10"/>
  <c r="M10"/>
  <c r="L10"/>
  <c r="K10"/>
  <c r="J10"/>
  <c r="I10"/>
  <c r="H10"/>
  <c r="G10"/>
  <c r="F10"/>
  <c r="E10"/>
  <c r="D10"/>
  <c r="P10" s="1"/>
  <c r="P9"/>
  <c r="P8"/>
  <c r="P7"/>
  <c r="P6"/>
  <c r="N59" i="10"/>
  <c r="M59"/>
  <c r="K59"/>
  <c r="J59"/>
  <c r="I59"/>
  <c r="H59"/>
  <c r="G59"/>
  <c r="F59"/>
  <c r="E59"/>
  <c r="D59"/>
  <c r="C59"/>
  <c r="L58"/>
  <c r="L59" s="1"/>
  <c r="O57"/>
  <c r="P57" s="1"/>
  <c r="N53"/>
  <c r="M53"/>
  <c r="L53"/>
  <c r="K53"/>
  <c r="J53"/>
  <c r="I53"/>
  <c r="H53"/>
  <c r="G53"/>
  <c r="F53"/>
  <c r="E53"/>
  <c r="D53"/>
  <c r="C53"/>
  <c r="O53"/>
  <c r="O52" s="1"/>
  <c r="O51"/>
  <c r="P51" s="1"/>
  <c r="N47"/>
  <c r="M47"/>
  <c r="L47"/>
  <c r="K47"/>
  <c r="J47"/>
  <c r="I47"/>
  <c r="H47"/>
  <c r="G47"/>
  <c r="F47"/>
  <c r="E47"/>
  <c r="D47"/>
  <c r="C47"/>
  <c r="O47"/>
  <c r="O46" s="1"/>
  <c r="O45"/>
  <c r="N41"/>
  <c r="M41"/>
  <c r="L41"/>
  <c r="K41"/>
  <c r="J41"/>
  <c r="I41"/>
  <c r="H41"/>
  <c r="G41"/>
  <c r="F41"/>
  <c r="E41"/>
  <c r="D41"/>
  <c r="C41"/>
  <c r="O41"/>
  <c r="O40" s="1"/>
  <c r="O39"/>
  <c r="P39" s="1"/>
  <c r="N35"/>
  <c r="M35"/>
  <c r="L35"/>
  <c r="K35"/>
  <c r="J35"/>
  <c r="I35"/>
  <c r="H35"/>
  <c r="G35"/>
  <c r="F35"/>
  <c r="E35"/>
  <c r="D35"/>
  <c r="C35"/>
  <c r="O35"/>
  <c r="O34" s="1"/>
  <c r="O33"/>
  <c r="P33" s="1"/>
  <c r="I10"/>
  <c r="I11" s="1"/>
  <c r="H10"/>
  <c r="H11"/>
  <c r="G10"/>
  <c r="F10"/>
  <c r="O10" s="1"/>
  <c r="E10"/>
  <c r="D10"/>
  <c r="D11"/>
  <c r="C10"/>
  <c r="O9"/>
  <c r="O8"/>
  <c r="O7"/>
  <c r="O6"/>
  <c r="I5"/>
  <c r="H5"/>
  <c r="G5"/>
  <c r="G11" s="1"/>
  <c r="F5"/>
  <c r="E5"/>
  <c r="E11"/>
  <c r="D5"/>
  <c r="C5"/>
  <c r="O5" s="1"/>
  <c r="N62" i="9"/>
  <c r="M62"/>
  <c r="L62"/>
  <c r="K62"/>
  <c r="J62"/>
  <c r="I62"/>
  <c r="G62"/>
  <c r="F62"/>
  <c r="E62"/>
  <c r="D62"/>
  <c r="H61"/>
  <c r="H62" s="1"/>
  <c r="C61"/>
  <c r="C62" s="1"/>
  <c r="O60"/>
  <c r="O59"/>
  <c r="L56"/>
  <c r="K56"/>
  <c r="J56"/>
  <c r="E56"/>
  <c r="M55"/>
  <c r="M56" s="1"/>
  <c r="I55"/>
  <c r="I56" s="1"/>
  <c r="H55"/>
  <c r="G55"/>
  <c r="G56"/>
  <c r="F55"/>
  <c r="D55"/>
  <c r="D56" s="1"/>
  <c r="C55"/>
  <c r="O55" s="1"/>
  <c r="H54"/>
  <c r="G54"/>
  <c r="F54"/>
  <c r="C54"/>
  <c r="O54"/>
  <c r="H53"/>
  <c r="H56"/>
  <c r="G53"/>
  <c r="F53"/>
  <c r="F56" s="1"/>
  <c r="C53"/>
  <c r="O53" s="1"/>
  <c r="N48"/>
  <c r="M48"/>
  <c r="M49"/>
  <c r="L48"/>
  <c r="L49"/>
  <c r="K48"/>
  <c r="K49"/>
  <c r="J48"/>
  <c r="J49"/>
  <c r="I48"/>
  <c r="I49"/>
  <c r="H48"/>
  <c r="H49"/>
  <c r="G48"/>
  <c r="G49"/>
  <c r="F48"/>
  <c r="F49"/>
  <c r="E48"/>
  <c r="E49"/>
  <c r="D48"/>
  <c r="D49"/>
  <c r="C48"/>
  <c r="O48"/>
  <c r="O47"/>
  <c r="N42"/>
  <c r="M42"/>
  <c r="M43" s="1"/>
  <c r="L42"/>
  <c r="L43" s="1"/>
  <c r="K42"/>
  <c r="K43" s="1"/>
  <c r="J42"/>
  <c r="J43" s="1"/>
  <c r="I42"/>
  <c r="I43" s="1"/>
  <c r="H42"/>
  <c r="H43" s="1"/>
  <c r="G42"/>
  <c r="G43" s="1"/>
  <c r="F42"/>
  <c r="F43" s="1"/>
  <c r="E42"/>
  <c r="E43" s="1"/>
  <c r="D42"/>
  <c r="D43" s="1"/>
  <c r="C42"/>
  <c r="C43" s="1"/>
  <c r="O41"/>
  <c r="N36"/>
  <c r="N37"/>
  <c r="M36"/>
  <c r="M37"/>
  <c r="L36"/>
  <c r="L37"/>
  <c r="K36"/>
  <c r="K37"/>
  <c r="J36"/>
  <c r="J37"/>
  <c r="I36"/>
  <c r="I37"/>
  <c r="H36"/>
  <c r="H37"/>
  <c r="G36"/>
  <c r="G37"/>
  <c r="F36"/>
  <c r="F37"/>
  <c r="E36"/>
  <c r="E37"/>
  <c r="D36"/>
  <c r="D37"/>
  <c r="C36"/>
  <c r="O36"/>
  <c r="O35"/>
  <c r="N30"/>
  <c r="N31"/>
  <c r="M30"/>
  <c r="M31"/>
  <c r="L30"/>
  <c r="L31"/>
  <c r="K30"/>
  <c r="K31"/>
  <c r="J30"/>
  <c r="J31"/>
  <c r="I30"/>
  <c r="I31"/>
  <c r="H30"/>
  <c r="H31"/>
  <c r="G30"/>
  <c r="G31"/>
  <c r="F30"/>
  <c r="F31"/>
  <c r="E30"/>
  <c r="E31"/>
  <c r="D30"/>
  <c r="D31"/>
  <c r="C30"/>
  <c r="C31"/>
  <c r="O29"/>
  <c r="N25"/>
  <c r="M25"/>
  <c r="L25"/>
  <c r="K25"/>
  <c r="J25"/>
  <c r="I25"/>
  <c r="H25"/>
  <c r="G25"/>
  <c r="F25"/>
  <c r="E25"/>
  <c r="D25"/>
  <c r="C25"/>
  <c r="O24"/>
  <c r="O25" s="1"/>
  <c r="O23"/>
  <c r="N19"/>
  <c r="M19"/>
  <c r="L19"/>
  <c r="K19"/>
  <c r="J19"/>
  <c r="I19"/>
  <c r="H19"/>
  <c r="G19"/>
  <c r="F19"/>
  <c r="E19"/>
  <c r="D19"/>
  <c r="C19"/>
  <c r="O18"/>
  <c r="O11"/>
  <c r="O10"/>
  <c r="O19" s="1"/>
  <c r="N6"/>
  <c r="M6"/>
  <c r="L6"/>
  <c r="K6"/>
  <c r="J6"/>
  <c r="I6"/>
  <c r="H6"/>
  <c r="G6"/>
  <c r="F6"/>
  <c r="E6"/>
  <c r="D6"/>
  <c r="C6"/>
  <c r="O4"/>
  <c r="B259" i="8"/>
  <c r="G258"/>
  <c r="F258"/>
  <c r="H258" s="1"/>
  <c r="G257"/>
  <c r="F257"/>
  <c r="H257"/>
  <c r="G256"/>
  <c r="F256"/>
  <c r="H256" s="1"/>
  <c r="G255"/>
  <c r="F255"/>
  <c r="H255"/>
  <c r="G254"/>
  <c r="F254"/>
  <c r="H254" s="1"/>
  <c r="G253"/>
  <c r="F253"/>
  <c r="H253"/>
  <c r="G252"/>
  <c r="F252"/>
  <c r="H252" s="1"/>
  <c r="G251"/>
  <c r="F251"/>
  <c r="H251"/>
  <c r="G250"/>
  <c r="F250"/>
  <c r="H250" s="1"/>
  <c r="G249"/>
  <c r="F249"/>
  <c r="H249"/>
  <c r="G248"/>
  <c r="F248"/>
  <c r="H248" s="1"/>
  <c r="G247"/>
  <c r="F247"/>
  <c r="F259" s="1"/>
  <c r="B243"/>
  <c r="G20" i="43" s="1"/>
  <c r="G242" i="8"/>
  <c r="F242"/>
  <c r="H242"/>
  <c r="G241"/>
  <c r="F241"/>
  <c r="H241" s="1"/>
  <c r="G240"/>
  <c r="F240"/>
  <c r="H240"/>
  <c r="G239"/>
  <c r="F239"/>
  <c r="H239" s="1"/>
  <c r="G238"/>
  <c r="F238"/>
  <c r="H238"/>
  <c r="G237"/>
  <c r="F237"/>
  <c r="H237" s="1"/>
  <c r="G236"/>
  <c r="F236"/>
  <c r="H236"/>
  <c r="G235"/>
  <c r="F235"/>
  <c r="H235" s="1"/>
  <c r="G234"/>
  <c r="G243" s="1"/>
  <c r="H243" s="1"/>
  <c r="F234"/>
  <c r="H234"/>
  <c r="G233"/>
  <c r="F233"/>
  <c r="H233" s="1"/>
  <c r="G232"/>
  <c r="F232"/>
  <c r="H232"/>
  <c r="G231"/>
  <c r="F231"/>
  <c r="H231"/>
  <c r="B228"/>
  <c r="G227"/>
  <c r="F227"/>
  <c r="H227"/>
  <c r="G226"/>
  <c r="F226"/>
  <c r="H226" s="1"/>
  <c r="G225"/>
  <c r="F225"/>
  <c r="H225"/>
  <c r="G224"/>
  <c r="H224"/>
  <c r="G223"/>
  <c r="F223"/>
  <c r="H223" s="1"/>
  <c r="G222"/>
  <c r="F222"/>
  <c r="H222"/>
  <c r="G221"/>
  <c r="F221"/>
  <c r="H221" s="1"/>
  <c r="G220"/>
  <c r="F220"/>
  <c r="H220"/>
  <c r="G219"/>
  <c r="F219"/>
  <c r="H219" s="1"/>
  <c r="G218"/>
  <c r="F218"/>
  <c r="H218"/>
  <c r="G217"/>
  <c r="F217"/>
  <c r="H217" s="1"/>
  <c r="G216"/>
  <c r="G228" s="1"/>
  <c r="F216"/>
  <c r="B212"/>
  <c r="G68" i="43" s="1"/>
  <c r="G211" i="8"/>
  <c r="F211"/>
  <c r="H211"/>
  <c r="G210"/>
  <c r="F210"/>
  <c r="H210" s="1"/>
  <c r="G209"/>
  <c r="F209"/>
  <c r="H209"/>
  <c r="G208"/>
  <c r="F208"/>
  <c r="H208" s="1"/>
  <c r="G207"/>
  <c r="F207"/>
  <c r="H207"/>
  <c r="G206"/>
  <c r="F206"/>
  <c r="H206" s="1"/>
  <c r="G205"/>
  <c r="F205"/>
  <c r="H205"/>
  <c r="G204"/>
  <c r="F204"/>
  <c r="H204" s="1"/>
  <c r="G203"/>
  <c r="F203"/>
  <c r="H203"/>
  <c r="G202"/>
  <c r="F202"/>
  <c r="H202" s="1"/>
  <c r="G201"/>
  <c r="F201"/>
  <c r="H201"/>
  <c r="G200"/>
  <c r="G212"/>
  <c r="F200"/>
  <c r="H200"/>
  <c r="B196"/>
  <c r="G195"/>
  <c r="F195"/>
  <c r="H195"/>
  <c r="G194"/>
  <c r="F194"/>
  <c r="H194" s="1"/>
  <c r="G193"/>
  <c r="F193"/>
  <c r="H193"/>
  <c r="G192"/>
  <c r="F192"/>
  <c r="H192" s="1"/>
  <c r="G191"/>
  <c r="F191"/>
  <c r="H191"/>
  <c r="G190"/>
  <c r="F190"/>
  <c r="H190" s="1"/>
  <c r="G189"/>
  <c r="F189"/>
  <c r="H189"/>
  <c r="G188"/>
  <c r="F188"/>
  <c r="H188" s="1"/>
  <c r="G187"/>
  <c r="G196" s="1"/>
  <c r="F187"/>
  <c r="H187"/>
  <c r="G186"/>
  <c r="F186"/>
  <c r="H186" s="1"/>
  <c r="G185"/>
  <c r="F185"/>
  <c r="H185"/>
  <c r="G184"/>
  <c r="F184"/>
  <c r="H184"/>
  <c r="B180"/>
  <c r="G179"/>
  <c r="F179"/>
  <c r="H179"/>
  <c r="G178"/>
  <c r="F178"/>
  <c r="H178" s="1"/>
  <c r="G177"/>
  <c r="F177"/>
  <c r="H177"/>
  <c r="G176"/>
  <c r="F176"/>
  <c r="H176" s="1"/>
  <c r="G175"/>
  <c r="F175"/>
  <c r="H175"/>
  <c r="G174"/>
  <c r="F174"/>
  <c r="H174" s="1"/>
  <c r="G173"/>
  <c r="F173"/>
  <c r="H173"/>
  <c r="G172"/>
  <c r="F172"/>
  <c r="H172" s="1"/>
  <c r="G171"/>
  <c r="F171"/>
  <c r="H171"/>
  <c r="G170"/>
  <c r="F170"/>
  <c r="H170" s="1"/>
  <c r="G169"/>
  <c r="F169"/>
  <c r="H169"/>
  <c r="G168"/>
  <c r="G180"/>
  <c r="F168"/>
  <c r="H168"/>
  <c r="G163"/>
  <c r="B163"/>
  <c r="F162"/>
  <c r="F161"/>
  <c r="F160"/>
  <c r="F159"/>
  <c r="F158"/>
  <c r="F157"/>
  <c r="F156"/>
  <c r="F155"/>
  <c r="F154"/>
  <c r="F153"/>
  <c r="F152"/>
  <c r="F151"/>
  <c r="F163" s="1"/>
  <c r="H163" s="1"/>
  <c r="G147"/>
  <c r="B147"/>
  <c r="F146"/>
  <c r="F145"/>
  <c r="F144"/>
  <c r="F143"/>
  <c r="F142"/>
  <c r="F141"/>
  <c r="F140"/>
  <c r="F139"/>
  <c r="F138"/>
  <c r="F137"/>
  <c r="F136"/>
  <c r="F135"/>
  <c r="F147" s="1"/>
  <c r="H147"/>
  <c r="G131"/>
  <c r="F130"/>
  <c r="F129"/>
  <c r="B128"/>
  <c r="B131" s="1"/>
  <c r="F127"/>
  <c r="F126"/>
  <c r="F125"/>
  <c r="F124"/>
  <c r="F123"/>
  <c r="F122"/>
  <c r="F121"/>
  <c r="F120"/>
  <c r="F119"/>
  <c r="G115"/>
  <c r="B115"/>
  <c r="F114"/>
  <c r="F113"/>
  <c r="F112"/>
  <c r="F111"/>
  <c r="F110"/>
  <c r="F109"/>
  <c r="F108"/>
  <c r="F107"/>
  <c r="F106"/>
  <c r="F105"/>
  <c r="F104"/>
  <c r="F103"/>
  <c r="F115" s="1"/>
  <c r="H115"/>
  <c r="B97"/>
  <c r="G96"/>
  <c r="F96"/>
  <c r="H96"/>
  <c r="G95"/>
  <c r="F95"/>
  <c r="H95" s="1"/>
  <c r="G94"/>
  <c r="F94"/>
  <c r="H94"/>
  <c r="G93"/>
  <c r="F93"/>
  <c r="H93" s="1"/>
  <c r="G92"/>
  <c r="F92"/>
  <c r="H92"/>
  <c r="G91"/>
  <c r="F91"/>
  <c r="H91" s="1"/>
  <c r="G90"/>
  <c r="F90"/>
  <c r="H90"/>
  <c r="G89"/>
  <c r="F89"/>
  <c r="H89" s="1"/>
  <c r="G88"/>
  <c r="F88"/>
  <c r="H88"/>
  <c r="G87"/>
  <c r="F87"/>
  <c r="H87" s="1"/>
  <c r="G86"/>
  <c r="F86"/>
  <c r="H86"/>
  <c r="F85"/>
  <c r="C85"/>
  <c r="G85"/>
  <c r="B81"/>
  <c r="G80"/>
  <c r="F80"/>
  <c r="H80"/>
  <c r="G79"/>
  <c r="F79"/>
  <c r="H79" s="1"/>
  <c r="G78"/>
  <c r="F78"/>
  <c r="H78"/>
  <c r="G77"/>
  <c r="F77"/>
  <c r="H77" s="1"/>
  <c r="G76"/>
  <c r="F76"/>
  <c r="H76"/>
  <c r="G75"/>
  <c r="F75"/>
  <c r="H75" s="1"/>
  <c r="G74"/>
  <c r="F74"/>
  <c r="H74"/>
  <c r="G73"/>
  <c r="F73"/>
  <c r="H73" s="1"/>
  <c r="G72"/>
  <c r="F72"/>
  <c r="H72"/>
  <c r="G71"/>
  <c r="F71"/>
  <c r="H71" s="1"/>
  <c r="G70"/>
  <c r="F70"/>
  <c r="H70"/>
  <c r="G69"/>
  <c r="G81"/>
  <c r="F69"/>
  <c r="H69"/>
  <c r="B65"/>
  <c r="F64"/>
  <c r="H64" s="1"/>
  <c r="C64"/>
  <c r="G64" s="1"/>
  <c r="F63"/>
  <c r="F65" s="1"/>
  <c r="H65" s="1"/>
  <c r="C63"/>
  <c r="G63"/>
  <c r="F62"/>
  <c r="C62"/>
  <c r="G62" s="1"/>
  <c r="H62" s="1"/>
  <c r="F61"/>
  <c r="C61"/>
  <c r="G61" s="1"/>
  <c r="H61"/>
  <c r="F60"/>
  <c r="C60"/>
  <c r="G60" s="1"/>
  <c r="H60" s="1"/>
  <c r="F59"/>
  <c r="C59"/>
  <c r="G59" s="1"/>
  <c r="H59"/>
  <c r="F58"/>
  <c r="C58"/>
  <c r="G58" s="1"/>
  <c r="H58" s="1"/>
  <c r="F57"/>
  <c r="C57"/>
  <c r="G57" s="1"/>
  <c r="H57"/>
  <c r="F56"/>
  <c r="C56"/>
  <c r="G56" s="1"/>
  <c r="H56" s="1"/>
  <c r="F55"/>
  <c r="C55"/>
  <c r="G55" s="1"/>
  <c r="H55"/>
  <c r="F54"/>
  <c r="C54"/>
  <c r="G54" s="1"/>
  <c r="H54" s="1"/>
  <c r="F53"/>
  <c r="C53"/>
  <c r="G53"/>
  <c r="C48"/>
  <c r="G48"/>
  <c r="B48"/>
  <c r="F48"/>
  <c r="C47"/>
  <c r="G47"/>
  <c r="B47"/>
  <c r="F47"/>
  <c r="H47" s="1"/>
  <c r="C46"/>
  <c r="G46" s="1"/>
  <c r="B46"/>
  <c r="F46" s="1"/>
  <c r="C45"/>
  <c r="G45" s="1"/>
  <c r="B45"/>
  <c r="F45" s="1"/>
  <c r="C44"/>
  <c r="G44" s="1"/>
  <c r="B44"/>
  <c r="F44" s="1"/>
  <c r="C43"/>
  <c r="G43" s="1"/>
  <c r="B43"/>
  <c r="F43" s="1"/>
  <c r="C42"/>
  <c r="G42" s="1"/>
  <c r="B42"/>
  <c r="F42" s="1"/>
  <c r="H42"/>
  <c r="C41"/>
  <c r="G41"/>
  <c r="B41"/>
  <c r="F41"/>
  <c r="C40"/>
  <c r="G40"/>
  <c r="B40"/>
  <c r="F40"/>
  <c r="C39"/>
  <c r="G39"/>
  <c r="B39"/>
  <c r="F39"/>
  <c r="H39" s="1"/>
  <c r="C38"/>
  <c r="G38" s="1"/>
  <c r="B38"/>
  <c r="F38" s="1"/>
  <c r="C37"/>
  <c r="G37" s="1"/>
  <c r="B37"/>
  <c r="B49" s="1"/>
  <c r="B33"/>
  <c r="F32"/>
  <c r="C32"/>
  <c r="G32" s="1"/>
  <c r="H32"/>
  <c r="F31"/>
  <c r="C31"/>
  <c r="G31" s="1"/>
  <c r="H31" s="1"/>
  <c r="F30"/>
  <c r="C30"/>
  <c r="G30" s="1"/>
  <c r="F29"/>
  <c r="H29" s="1"/>
  <c r="C29"/>
  <c r="G29" s="1"/>
  <c r="F28"/>
  <c r="H28" s="1"/>
  <c r="C28"/>
  <c r="G28" s="1"/>
  <c r="F27"/>
  <c r="H27" s="1"/>
  <c r="C27"/>
  <c r="G27" s="1"/>
  <c r="F26"/>
  <c r="C26"/>
  <c r="G26"/>
  <c r="F25"/>
  <c r="C25"/>
  <c r="G25" s="1"/>
  <c r="H25" s="1"/>
  <c r="F24"/>
  <c r="C24"/>
  <c r="G24" s="1"/>
  <c r="H24"/>
  <c r="F23"/>
  <c r="C23"/>
  <c r="G23" s="1"/>
  <c r="F22"/>
  <c r="C22"/>
  <c r="G22" s="1"/>
  <c r="F21"/>
  <c r="C21"/>
  <c r="G21" s="1"/>
  <c r="B17"/>
  <c r="G16"/>
  <c r="F16"/>
  <c r="H16" s="1"/>
  <c r="G15"/>
  <c r="F15"/>
  <c r="H15"/>
  <c r="G14"/>
  <c r="F14"/>
  <c r="H14" s="1"/>
  <c r="G13"/>
  <c r="F13"/>
  <c r="H13"/>
  <c r="G12"/>
  <c r="F12"/>
  <c r="H12" s="1"/>
  <c r="G11"/>
  <c r="F11"/>
  <c r="H11"/>
  <c r="G10"/>
  <c r="F10"/>
  <c r="H10" s="1"/>
  <c r="G9"/>
  <c r="F9"/>
  <c r="H9"/>
  <c r="G8"/>
  <c r="F8"/>
  <c r="H8" s="1"/>
  <c r="G7"/>
  <c r="F7"/>
  <c r="H7"/>
  <c r="G6"/>
  <c r="F6"/>
  <c r="H6" s="1"/>
  <c r="G5"/>
  <c r="F5"/>
  <c r="H5" s="1"/>
  <c r="Q367" i="7"/>
  <c r="Q366"/>
  <c r="P365"/>
  <c r="O365"/>
  <c r="N365"/>
  <c r="M365"/>
  <c r="L365"/>
  <c r="K365"/>
  <c r="J365"/>
  <c r="I365"/>
  <c r="H365"/>
  <c r="G365"/>
  <c r="F365"/>
  <c r="E365"/>
  <c r="Q365" s="1"/>
  <c r="P364"/>
  <c r="P361" s="1"/>
  <c r="O364"/>
  <c r="O361" s="1"/>
  <c r="N364"/>
  <c r="N361" s="1"/>
  <c r="M364"/>
  <c r="M361" s="1"/>
  <c r="L364"/>
  <c r="K364"/>
  <c r="K361"/>
  <c r="J364"/>
  <c r="J361"/>
  <c r="I364"/>
  <c r="I361"/>
  <c r="H364"/>
  <c r="H361"/>
  <c r="G364"/>
  <c r="G361"/>
  <c r="F364"/>
  <c r="F361"/>
  <c r="E364"/>
  <c r="Q364"/>
  <c r="Q363"/>
  <c r="L361"/>
  <c r="L355"/>
  <c r="L347"/>
  <c r="L349" s="1"/>
  <c r="K355"/>
  <c r="K347" s="1"/>
  <c r="K349" s="1"/>
  <c r="J355"/>
  <c r="J347"/>
  <c r="J349" s="1"/>
  <c r="I355"/>
  <c r="I347" s="1"/>
  <c r="I349" s="1"/>
  <c r="H355"/>
  <c r="H347"/>
  <c r="H349" s="1"/>
  <c r="G355"/>
  <c r="G347" s="1"/>
  <c r="F355"/>
  <c r="F347"/>
  <c r="E355"/>
  <c r="Q355"/>
  <c r="Q354"/>
  <c r="Q353"/>
  <c r="Q352"/>
  <c r="Q350"/>
  <c r="P347"/>
  <c r="P349"/>
  <c r="O347"/>
  <c r="O349"/>
  <c r="N347"/>
  <c r="N349"/>
  <c r="M347"/>
  <c r="M349"/>
  <c r="E347"/>
  <c r="E349"/>
  <c r="Q340"/>
  <c r="Q339"/>
  <c r="Q338"/>
  <c r="Q337"/>
  <c r="P335"/>
  <c r="O335"/>
  <c r="N335"/>
  <c r="M335"/>
  <c r="L335"/>
  <c r="K335"/>
  <c r="J335"/>
  <c r="I335"/>
  <c r="H335"/>
  <c r="G335"/>
  <c r="F335"/>
  <c r="E335"/>
  <c r="Q335" s="1"/>
  <c r="P334"/>
  <c r="O334"/>
  <c r="N334"/>
  <c r="M334"/>
  <c r="L334"/>
  <c r="K334"/>
  <c r="J334"/>
  <c r="I334"/>
  <c r="H334"/>
  <c r="G334"/>
  <c r="F334"/>
  <c r="E334"/>
  <c r="Q334"/>
  <c r="P333"/>
  <c r="O333"/>
  <c r="N333"/>
  <c r="M333"/>
  <c r="L333"/>
  <c r="K333"/>
  <c r="J333"/>
  <c r="I333"/>
  <c r="H333"/>
  <c r="G333"/>
  <c r="F333"/>
  <c r="E333"/>
  <c r="Q333" s="1"/>
  <c r="P332"/>
  <c r="P330" s="1"/>
  <c r="O332"/>
  <c r="O330" s="1"/>
  <c r="N332"/>
  <c r="M332"/>
  <c r="M330"/>
  <c r="L332"/>
  <c r="K332"/>
  <c r="K330" s="1"/>
  <c r="K336"/>
  <c r="J332"/>
  <c r="J330"/>
  <c r="J336"/>
  <c r="I332"/>
  <c r="I330" s="1"/>
  <c r="I336"/>
  <c r="H332"/>
  <c r="G332"/>
  <c r="G336" s="1"/>
  <c r="G330" s="1"/>
  <c r="F332"/>
  <c r="F330"/>
  <c r="F336"/>
  <c r="E332"/>
  <c r="E336" s="1"/>
  <c r="N330"/>
  <c r="L324"/>
  <c r="L312"/>
  <c r="L314" s="1"/>
  <c r="K324"/>
  <c r="K312" s="1"/>
  <c r="K314" s="1"/>
  <c r="J324"/>
  <c r="J312"/>
  <c r="J314" s="1"/>
  <c r="I324"/>
  <c r="I312" s="1"/>
  <c r="I314" s="1"/>
  <c r="H324"/>
  <c r="H312"/>
  <c r="H314" s="1"/>
  <c r="G324"/>
  <c r="G312" s="1"/>
  <c r="G314" s="1"/>
  <c r="F324"/>
  <c r="F312" s="1"/>
  <c r="E324"/>
  <c r="Q324" s="1"/>
  <c r="Q323"/>
  <c r="Q322"/>
  <c r="Q321"/>
  <c r="Q320"/>
  <c r="Q318"/>
  <c r="Q317"/>
  <c r="Q316"/>
  <c r="Q315"/>
  <c r="P312"/>
  <c r="P314" s="1"/>
  <c r="O312"/>
  <c r="O314" s="1"/>
  <c r="N312"/>
  <c r="N314" s="1"/>
  <c r="M312"/>
  <c r="M314" s="1"/>
  <c r="E312"/>
  <c r="E314" s="1"/>
  <c r="Q301"/>
  <c r="Q300"/>
  <c r="Q299"/>
  <c r="Q298"/>
  <c r="P296"/>
  <c r="O296"/>
  <c r="N296"/>
  <c r="M296"/>
  <c r="L296"/>
  <c r="K296"/>
  <c r="J296"/>
  <c r="I296"/>
  <c r="H296"/>
  <c r="G296"/>
  <c r="F296"/>
  <c r="E296"/>
  <c r="Q296"/>
  <c r="Q290"/>
  <c r="Q289"/>
  <c r="Q288"/>
  <c r="Q286"/>
  <c r="P283"/>
  <c r="P285"/>
  <c r="O283"/>
  <c r="O285"/>
  <c r="N283"/>
  <c r="N285"/>
  <c r="M283"/>
  <c r="M285"/>
  <c r="L283"/>
  <c r="L285"/>
  <c r="K283"/>
  <c r="K285"/>
  <c r="J283"/>
  <c r="J285"/>
  <c r="I283"/>
  <c r="I285"/>
  <c r="H283"/>
  <c r="H285"/>
  <c r="G283"/>
  <c r="G285"/>
  <c r="F283"/>
  <c r="F285"/>
  <c r="E283"/>
  <c r="E285"/>
  <c r="Q285" s="1"/>
  <c r="Q276"/>
  <c r="Q275"/>
  <c r="Q274"/>
  <c r="Q273"/>
  <c r="Q272"/>
  <c r="Q271"/>
  <c r="Q270"/>
  <c r="Q269"/>
  <c r="P267"/>
  <c r="O267"/>
  <c r="N267"/>
  <c r="M267"/>
  <c r="L267"/>
  <c r="K267"/>
  <c r="J267"/>
  <c r="I267"/>
  <c r="H267"/>
  <c r="G267"/>
  <c r="F267"/>
  <c r="E267"/>
  <c r="Q267"/>
  <c r="Q261"/>
  <c r="Q260"/>
  <c r="Q259"/>
  <c r="Q258"/>
  <c r="Q256"/>
  <c r="Q255"/>
  <c r="Q254"/>
  <c r="Q253"/>
  <c r="P250"/>
  <c r="P252"/>
  <c r="O250"/>
  <c r="O252"/>
  <c r="N250"/>
  <c r="N252"/>
  <c r="M250"/>
  <c r="M252"/>
  <c r="L250"/>
  <c r="L252"/>
  <c r="K250"/>
  <c r="K252"/>
  <c r="J250"/>
  <c r="J252"/>
  <c r="I250"/>
  <c r="I252"/>
  <c r="H250"/>
  <c r="H252"/>
  <c r="G250"/>
  <c r="G252"/>
  <c r="F250"/>
  <c r="F252"/>
  <c r="E250"/>
  <c r="Q250"/>
  <c r="Q240"/>
  <c r="Q239"/>
  <c r="Q238"/>
  <c r="Q237"/>
  <c r="P235"/>
  <c r="O235"/>
  <c r="N235"/>
  <c r="M235"/>
  <c r="L235"/>
  <c r="K235"/>
  <c r="J235"/>
  <c r="I235"/>
  <c r="H235"/>
  <c r="G235"/>
  <c r="F235"/>
  <c r="E235"/>
  <c r="Q235" s="1"/>
  <c r="Q229"/>
  <c r="Q228"/>
  <c r="Q227"/>
  <c r="Q225"/>
  <c r="P222"/>
  <c r="P224" s="1"/>
  <c r="O222"/>
  <c r="O224" s="1"/>
  <c r="N222"/>
  <c r="N224" s="1"/>
  <c r="M222"/>
  <c r="M224" s="1"/>
  <c r="L222"/>
  <c r="L224" s="1"/>
  <c r="K222"/>
  <c r="K224" s="1"/>
  <c r="J222"/>
  <c r="J224" s="1"/>
  <c r="I222"/>
  <c r="I224" s="1"/>
  <c r="H222"/>
  <c r="H224" s="1"/>
  <c r="G222"/>
  <c r="G224" s="1"/>
  <c r="F222"/>
  <c r="F224" s="1"/>
  <c r="E222"/>
  <c r="E224" s="1"/>
  <c r="Q215"/>
  <c r="Q214"/>
  <c r="Q213"/>
  <c r="Q212"/>
  <c r="Q211"/>
  <c r="Q210"/>
  <c r="Q209"/>
  <c r="Q208"/>
  <c r="P206"/>
  <c r="O206"/>
  <c r="N206"/>
  <c r="M206"/>
  <c r="L206"/>
  <c r="K206"/>
  <c r="J206"/>
  <c r="I206"/>
  <c r="H206"/>
  <c r="G206"/>
  <c r="F206"/>
  <c r="E206"/>
  <c r="Q206" s="1"/>
  <c r="Q200"/>
  <c r="Q199"/>
  <c r="Q198"/>
  <c r="Q197"/>
  <c r="Q195"/>
  <c r="Q194"/>
  <c r="Q193"/>
  <c r="Q192"/>
  <c r="P189"/>
  <c r="P191" s="1"/>
  <c r="O189"/>
  <c r="O191" s="1"/>
  <c r="N189"/>
  <c r="N191" s="1"/>
  <c r="M189"/>
  <c r="M191" s="1"/>
  <c r="L189"/>
  <c r="L191" s="1"/>
  <c r="K189"/>
  <c r="K191" s="1"/>
  <c r="J189"/>
  <c r="J191" s="1"/>
  <c r="I189"/>
  <c r="I191" s="1"/>
  <c r="H189"/>
  <c r="H191" s="1"/>
  <c r="G189"/>
  <c r="G191" s="1"/>
  <c r="F189"/>
  <c r="F191" s="1"/>
  <c r="Q191" s="1"/>
  <c r="E189"/>
  <c r="Q189" s="1"/>
  <c r="Q179"/>
  <c r="Q178"/>
  <c r="Q177"/>
  <c r="Q176"/>
  <c r="P174"/>
  <c r="O174"/>
  <c r="N174"/>
  <c r="M174"/>
  <c r="L174"/>
  <c r="K174"/>
  <c r="J174"/>
  <c r="I174"/>
  <c r="H174"/>
  <c r="G174"/>
  <c r="F174"/>
  <c r="E174"/>
  <c r="Q174"/>
  <c r="Q168"/>
  <c r="Q167"/>
  <c r="Q166"/>
  <c r="Q164"/>
  <c r="P161"/>
  <c r="P163"/>
  <c r="O161"/>
  <c r="O163"/>
  <c r="N161"/>
  <c r="N163"/>
  <c r="M161"/>
  <c r="M163"/>
  <c r="L161"/>
  <c r="L163"/>
  <c r="K161"/>
  <c r="K163"/>
  <c r="J161"/>
  <c r="J163"/>
  <c r="I161"/>
  <c r="I163"/>
  <c r="H161"/>
  <c r="H163"/>
  <c r="G161"/>
  <c r="G163"/>
  <c r="F161"/>
  <c r="F163"/>
  <c r="E161"/>
  <c r="E163"/>
  <c r="Q154"/>
  <c r="Q153"/>
  <c r="Q152"/>
  <c r="Q151"/>
  <c r="Q150"/>
  <c r="Q149"/>
  <c r="Q148"/>
  <c r="Q147"/>
  <c r="P145"/>
  <c r="O145"/>
  <c r="N145"/>
  <c r="M145"/>
  <c r="L145"/>
  <c r="K145"/>
  <c r="J145"/>
  <c r="I145"/>
  <c r="H145"/>
  <c r="G145"/>
  <c r="F145"/>
  <c r="E145"/>
  <c r="Q145" s="1"/>
  <c r="Q139"/>
  <c r="Q138"/>
  <c r="Q137"/>
  <c r="Q136"/>
  <c r="Q134"/>
  <c r="Q133"/>
  <c r="Q132"/>
  <c r="Q131"/>
  <c r="P128"/>
  <c r="P130" s="1"/>
  <c r="O128"/>
  <c r="O130" s="1"/>
  <c r="N128"/>
  <c r="N130" s="1"/>
  <c r="M128"/>
  <c r="M130" s="1"/>
  <c r="L128"/>
  <c r="L130" s="1"/>
  <c r="K128"/>
  <c r="K130" s="1"/>
  <c r="J128"/>
  <c r="J130" s="1"/>
  <c r="I128"/>
  <c r="I130" s="1"/>
  <c r="H128"/>
  <c r="H130" s="1"/>
  <c r="G128"/>
  <c r="G130" s="1"/>
  <c r="F128"/>
  <c r="F130" s="1"/>
  <c r="E128"/>
  <c r="Q128" s="1"/>
  <c r="G105" i="4"/>
  <c r="F39" i="40"/>
  <c r="N67" i="33"/>
  <c r="O67"/>
  <c r="R1170" i="29"/>
  <c r="L1155"/>
  <c r="L1170"/>
  <c r="P1156"/>
  <c r="N1157"/>
  <c r="P1158"/>
  <c r="N1159"/>
  <c r="E1170"/>
  <c r="J68" i="28"/>
  <c r="L66" s="1"/>
  <c r="L8" i="23"/>
  <c r="L13" s="1"/>
  <c r="L32"/>
  <c r="L37" s="1"/>
  <c r="L56"/>
  <c r="L61" s="1"/>
  <c r="L80"/>
  <c r="L85" s="1"/>
  <c r="L104"/>
  <c r="L128"/>
  <c r="L133"/>
  <c r="L152"/>
  <c r="L157"/>
  <c r="L176"/>
  <c r="L178"/>
  <c r="K8"/>
  <c r="K13"/>
  <c r="K15" s="1"/>
  <c r="K32"/>
  <c r="K37" s="1"/>
  <c r="K56"/>
  <c r="K61" s="1"/>
  <c r="K80"/>
  <c r="K85" s="1"/>
  <c r="K104"/>
  <c r="K109" s="1"/>
  <c r="K128"/>
  <c r="K152"/>
  <c r="K157" s="1"/>
  <c r="K176"/>
  <c r="K181" s="1"/>
  <c r="L8" i="22"/>
  <c r="L13" s="1"/>
  <c r="L32"/>
  <c r="L34" s="1"/>
  <c r="L56"/>
  <c r="L61" s="1"/>
  <c r="L80"/>
  <c r="L85" s="1"/>
  <c r="L104"/>
  <c r="L109" s="1"/>
  <c r="L128"/>
  <c r="L130" s="1"/>
  <c r="L152"/>
  <c r="L157" s="1"/>
  <c r="L176"/>
  <c r="K8"/>
  <c r="K13"/>
  <c r="K32"/>
  <c r="K34"/>
  <c r="K56"/>
  <c r="K61"/>
  <c r="K80"/>
  <c r="K104"/>
  <c r="K109"/>
  <c r="K128"/>
  <c r="K130"/>
  <c r="K152"/>
  <c r="K157"/>
  <c r="K176"/>
  <c r="K181"/>
  <c r="K183" s="1"/>
  <c r="I10" i="20"/>
  <c r="K8"/>
  <c r="K13"/>
  <c r="K32"/>
  <c r="K37"/>
  <c r="K42" s="1"/>
  <c r="K56"/>
  <c r="K80"/>
  <c r="K85"/>
  <c r="K104"/>
  <c r="K109"/>
  <c r="K111" s="1"/>
  <c r="K128"/>
  <c r="K133" s="1"/>
  <c r="K152"/>
  <c r="K176"/>
  <c r="K181"/>
  <c r="L8"/>
  <c r="L10"/>
  <c r="L32"/>
  <c r="L37"/>
  <c r="L56"/>
  <c r="L61"/>
  <c r="L66" s="1"/>
  <c r="L80"/>
  <c r="L85" s="1"/>
  <c r="L104"/>
  <c r="L109" s="1"/>
  <c r="L128"/>
  <c r="L133" s="1"/>
  <c r="L152"/>
  <c r="L176"/>
  <c r="L181" s="1"/>
  <c r="Q161" i="7"/>
  <c r="E191"/>
  <c r="Q222"/>
  <c r="Q283"/>
  <c r="F17" i="8"/>
  <c r="F81"/>
  <c r="H81"/>
  <c r="F128"/>
  <c r="F131"/>
  <c r="H131" s="1"/>
  <c r="F180"/>
  <c r="H180" s="1"/>
  <c r="F196"/>
  <c r="H196" s="1"/>
  <c r="F212"/>
  <c r="H212" s="1"/>
  <c r="F228"/>
  <c r="H228" s="1"/>
  <c r="F243"/>
  <c r="O30" i="9"/>
  <c r="O31"/>
  <c r="C37"/>
  <c r="O42"/>
  <c r="O43" s="1"/>
  <c r="C56"/>
  <c r="O61"/>
  <c r="O62"/>
  <c r="C11" i="10"/>
  <c r="H55" i="13"/>
  <c r="P55"/>
  <c r="P53" s="1"/>
  <c r="F37" i="8"/>
  <c r="K133" i="23"/>
  <c r="K138"/>
  <c r="K130"/>
  <c r="K82"/>
  <c r="K34"/>
  <c r="K106"/>
  <c r="K10"/>
  <c r="L181"/>
  <c r="K133" i="22"/>
  <c r="K138"/>
  <c r="K37"/>
  <c r="K42"/>
  <c r="L181"/>
  <c r="L186"/>
  <c r="L178"/>
  <c r="L154"/>
  <c r="L34" i="20"/>
  <c r="L157"/>
  <c r="L162" s="1"/>
  <c r="L154"/>
  <c r="K157"/>
  <c r="K162"/>
  <c r="K14"/>
  <c r="K19"/>
  <c r="K24" s="1"/>
  <c r="K62"/>
  <c r="K67" s="1"/>
  <c r="K110"/>
  <c r="K115"/>
  <c r="K106"/>
  <c r="E361" i="7"/>
  <c r="Q361" s="1"/>
  <c r="I31" i="33"/>
  <c r="I33" s="1"/>
  <c r="R39" i="40"/>
  <c r="L32"/>
  <c r="D65" i="44"/>
  <c r="F68" i="43"/>
  <c r="D64" i="44"/>
  <c r="D19"/>
  <c r="E19"/>
  <c r="D18"/>
  <c r="E18"/>
  <c r="F20" i="43"/>
  <c r="FS30" i="45"/>
  <c r="FS28"/>
  <c r="FS32"/>
  <c r="P1170" i="29"/>
  <c r="H336" i="7"/>
  <c r="H330" s="1"/>
  <c r="L336"/>
  <c r="L330" s="1"/>
  <c r="H26" i="8"/>
  <c r="H30"/>
  <c r="L10" i="22"/>
  <c r="K10"/>
  <c r="K154" i="23"/>
  <c r="L109"/>
  <c r="L114"/>
  <c r="L119" s="1"/>
  <c r="L121" s="1"/>
  <c r="L106"/>
  <c r="K85" i="22"/>
  <c r="K90" s="1"/>
  <c r="K82"/>
  <c r="N1170" i="29"/>
  <c r="E130" i="7"/>
  <c r="H247" i="8"/>
  <c r="K66" i="22"/>
  <c r="K71"/>
  <c r="K58"/>
  <c r="L10" i="23"/>
  <c r="P48" i="13"/>
  <c r="C44" i="32"/>
  <c r="G31" i="33"/>
  <c r="F10" i="43" s="1"/>
  <c r="P46" i="13"/>
  <c r="H31" i="33"/>
  <c r="G10" i="43"/>
  <c r="J31" i="33"/>
  <c r="J33"/>
  <c r="K114" i="20"/>
  <c r="K186" i="22"/>
  <c r="K191" s="1"/>
  <c r="K193" s="1"/>
  <c r="H33" i="33"/>
  <c r="H63" i="8"/>
  <c r="K90" i="20"/>
  <c r="K95" s="1"/>
  <c r="K97" s="1"/>
  <c r="K162" i="22"/>
  <c r="K164" s="1"/>
  <c r="K159"/>
  <c r="K114"/>
  <c r="K111"/>
  <c r="H23" i="8"/>
  <c r="L111" i="23"/>
  <c r="L82" i="22"/>
  <c r="L58"/>
  <c r="L183"/>
  <c r="L130" i="23"/>
  <c r="K178"/>
  <c r="K106" i="22"/>
  <c r="L106"/>
  <c r="L82" i="20"/>
  <c r="K135" i="22"/>
  <c r="L130" i="20"/>
  <c r="K154" i="22"/>
  <c r="L37"/>
  <c r="L39"/>
  <c r="L133"/>
  <c r="L138"/>
  <c r="L143" s="1"/>
  <c r="L145" s="1"/>
  <c r="K178"/>
  <c r="K58" i="23"/>
  <c r="L34"/>
  <c r="Q332" i="7"/>
  <c r="E252"/>
  <c r="Q252"/>
  <c r="L42" i="22"/>
  <c r="L47"/>
  <c r="L49" s="1"/>
  <c r="L135"/>
  <c r="K119"/>
  <c r="K116"/>
  <c r="K167"/>
  <c r="K169" s="1"/>
  <c r="K119" i="20"/>
  <c r="K143" i="22"/>
  <c r="K145" s="1"/>
  <c r="K140"/>
  <c r="K143" i="23"/>
  <c r="K145"/>
  <c r="K140"/>
  <c r="K18" i="20"/>
  <c r="K15"/>
  <c r="L135" i="23"/>
  <c r="L138"/>
  <c r="L143" s="1"/>
  <c r="L145" s="1"/>
  <c r="K120" i="20"/>
  <c r="K116"/>
  <c r="K47" i="22"/>
  <c r="L42" i="20"/>
  <c r="L39"/>
  <c r="K186"/>
  <c r="K18" i="22"/>
  <c r="L159" i="23"/>
  <c r="L162"/>
  <c r="G49" i="8"/>
  <c r="H37"/>
  <c r="G65"/>
  <c r="H53"/>
  <c r="G97"/>
  <c r="H85"/>
  <c r="L62" i="20"/>
  <c r="L63"/>
  <c r="L58"/>
  <c r="L91"/>
  <c r="L110"/>
  <c r="L115"/>
  <c r="L106"/>
  <c r="L139"/>
  <c r="K158"/>
  <c r="K163" s="1"/>
  <c r="K154"/>
  <c r="K121"/>
  <c r="Q163" i="7"/>
  <c r="G67" i="43"/>
  <c r="H41" i="8"/>
  <c r="H43"/>
  <c r="H44"/>
  <c r="H46"/>
  <c r="H48"/>
  <c r="O56" i="9"/>
  <c r="L188" i="22"/>
  <c r="L191"/>
  <c r="L193"/>
  <c r="F349" i="7"/>
  <c r="H21" i="8"/>
  <c r="G33"/>
  <c r="F49"/>
  <c r="H49" s="1"/>
  <c r="H38"/>
  <c r="K34" i="20"/>
  <c r="K38"/>
  <c r="K43"/>
  <c r="K86"/>
  <c r="K82"/>
  <c r="K134"/>
  <c r="K130"/>
  <c r="L163"/>
  <c r="L168"/>
  <c r="L159"/>
  <c r="K182"/>
  <c r="K187" s="1"/>
  <c r="K178"/>
  <c r="K10"/>
  <c r="K135" i="23"/>
  <c r="L13" i="20"/>
  <c r="L15"/>
  <c r="L58" i="23"/>
  <c r="L82"/>
  <c r="F31" i="33"/>
  <c r="F33" s="1"/>
  <c r="K39" i="20"/>
  <c r="L18"/>
  <c r="L23" s="1"/>
  <c r="L25" s="1"/>
  <c r="K139"/>
  <c r="K91"/>
  <c r="K96"/>
  <c r="K87"/>
  <c r="K159"/>
  <c r="L144"/>
  <c r="L96"/>
  <c r="L67"/>
  <c r="L72" s="1"/>
  <c r="K191"/>
  <c r="L47"/>
  <c r="K23"/>
  <c r="K25" s="1"/>
  <c r="K20"/>
  <c r="L167" i="23"/>
  <c r="L169" s="1"/>
  <c r="L164"/>
  <c r="K23" i="22"/>
  <c r="L140" i="23"/>
  <c r="K144" i="20"/>
  <c r="K48"/>
  <c r="L120"/>
  <c r="K167"/>
  <c r="K92"/>
  <c r="L140" i="22"/>
  <c r="L44"/>
  <c r="K188"/>
  <c r="K18" i="23"/>
  <c r="L178" i="20"/>
  <c r="H40" i="8"/>
  <c r="H45"/>
  <c r="L186" i="23"/>
  <c r="L191" s="1"/>
  <c r="L193" s="1"/>
  <c r="L183"/>
  <c r="K58" i="20"/>
  <c r="K61"/>
  <c r="E69" i="38"/>
  <c r="G19" i="42" s="1"/>
  <c r="G25" s="1"/>
  <c r="G32" s="1"/>
  <c r="G33" s="1"/>
  <c r="E39" s="1"/>
  <c r="L154" i="23"/>
  <c r="R61" i="13"/>
  <c r="K63" i="20"/>
  <c r="K66"/>
  <c r="K23" i="23"/>
  <c r="K20"/>
  <c r="K71" i="20"/>
  <c r="G46" i="28" l="1"/>
  <c r="T46" s="1"/>
  <c r="T56"/>
  <c r="K168" i="20"/>
  <c r="K169" s="1"/>
  <c r="K164"/>
  <c r="K95" i="22"/>
  <c r="K72" i="20"/>
  <c r="K68"/>
  <c r="L167"/>
  <c r="L169" s="1"/>
  <c r="L164"/>
  <c r="L111"/>
  <c r="L114"/>
  <c r="L71"/>
  <c r="L73" s="1"/>
  <c r="L68"/>
  <c r="L111" i="22"/>
  <c r="L114"/>
  <c r="L63"/>
  <c r="L66"/>
  <c r="K162" i="23"/>
  <c r="K159"/>
  <c r="K111"/>
  <c r="K114"/>
  <c r="L15"/>
  <c r="L18"/>
  <c r="K192" i="20"/>
  <c r="K188"/>
  <c r="L183"/>
  <c r="L186"/>
  <c r="L138"/>
  <c r="L135"/>
  <c r="L90"/>
  <c r="L87"/>
  <c r="K138"/>
  <c r="K135"/>
  <c r="K47"/>
  <c r="K49" s="1"/>
  <c r="K44"/>
  <c r="L90" i="22"/>
  <c r="L87"/>
  <c r="K183" i="23"/>
  <c r="K186"/>
  <c r="K87"/>
  <c r="K90"/>
  <c r="K39"/>
  <c r="K42"/>
  <c r="L90"/>
  <c r="L87"/>
  <c r="L42"/>
  <c r="L39"/>
  <c r="L67" i="28"/>
  <c r="L68" s="1"/>
  <c r="F314" i="7"/>
  <c r="Q312"/>
  <c r="A50" i="21"/>
  <c r="A52"/>
  <c r="A53" s="1"/>
  <c r="A54" s="1"/>
  <c r="A55" s="1"/>
  <c r="A56" s="1"/>
  <c r="A57" s="1"/>
  <c r="A58" s="1"/>
  <c r="A59" s="1"/>
  <c r="A60" s="1"/>
  <c r="A61" s="1"/>
  <c r="A62" s="1"/>
  <c r="A63" s="1"/>
  <c r="A64" s="1"/>
  <c r="A67" s="1"/>
  <c r="A68" s="1"/>
  <c r="A69" s="1"/>
  <c r="A71" s="1"/>
  <c r="A72" s="1"/>
  <c r="A73" s="1"/>
  <c r="A75" s="1"/>
  <c r="A77" s="1"/>
  <c r="A78" s="1"/>
  <c r="A79" s="1"/>
  <c r="A80" s="1"/>
  <c r="A81" s="1"/>
  <c r="A82" s="1"/>
  <c r="A86" s="1"/>
  <c r="A87" s="1"/>
  <c r="A88" s="1"/>
  <c r="A89" s="1"/>
  <c r="A90" s="1"/>
  <c r="A91" s="1"/>
  <c r="A92" s="1"/>
  <c r="A115" s="1"/>
  <c r="K73" i="20"/>
  <c r="Q130" i="7"/>
  <c r="Q224"/>
  <c r="Q314"/>
  <c r="L159" i="22"/>
  <c r="L162"/>
  <c r="L18"/>
  <c r="L15"/>
  <c r="K63" i="23"/>
  <c r="K66"/>
  <c r="L63"/>
  <c r="L66"/>
  <c r="Q336" i="7"/>
  <c r="E330"/>
  <c r="Q330" s="1"/>
  <c r="G19" i="43" s="1"/>
  <c r="G349" i="7"/>
  <c r="Q349" s="1"/>
  <c r="Q347"/>
  <c r="L48" i="20"/>
  <c r="L49" s="1"/>
  <c r="L44"/>
  <c r="K193"/>
  <c r="L188" i="23"/>
  <c r="L20" i="20"/>
  <c r="K183"/>
  <c r="G58" i="43"/>
  <c r="G33" i="33"/>
  <c r="L116" i="23"/>
  <c r="G17" i="8"/>
  <c r="H17" s="1"/>
  <c r="F33"/>
  <c r="H33" s="1"/>
  <c r="H22"/>
  <c r="F97"/>
  <c r="H97" s="1"/>
  <c r="H216"/>
  <c r="G259"/>
  <c r="H259" s="1"/>
  <c r="O37" i="9"/>
  <c r="O49"/>
  <c r="O59" i="10"/>
  <c r="P34" i="13"/>
  <c r="K14" i="22"/>
  <c r="K38"/>
  <c r="K62"/>
  <c r="K67" s="1"/>
  <c r="K86"/>
  <c r="F11" i="10"/>
  <c r="O11" s="1"/>
  <c r="I130" i="22"/>
  <c r="I154"/>
  <c r="I178"/>
  <c r="I10" i="23"/>
  <c r="I34"/>
  <c r="I58"/>
  <c r="I82"/>
  <c r="I106"/>
  <c r="E416" i="7"/>
  <c r="Q416" s="1"/>
  <c r="Q414"/>
  <c r="Q380"/>
  <c r="O67" i="9"/>
  <c r="O68" s="1"/>
  <c r="P68" i="13"/>
  <c r="P67" s="1"/>
  <c r="N66" i="28" l="1"/>
  <c r="K72" i="22"/>
  <c r="K73" s="1"/>
  <c r="K68"/>
  <c r="K19"/>
  <c r="K15"/>
  <c r="P57" i="13"/>
  <c r="O58" i="10"/>
  <c r="P59"/>
  <c r="L71" i="23"/>
  <c r="L73" s="1"/>
  <c r="L68"/>
  <c r="K71"/>
  <c r="K73" s="1"/>
  <c r="K68"/>
  <c r="L167" i="22"/>
  <c r="L169" s="1"/>
  <c r="L164"/>
  <c r="K47" i="23"/>
  <c r="K49" s="1"/>
  <c r="K44"/>
  <c r="K95"/>
  <c r="K97" s="1"/>
  <c r="K92"/>
  <c r="K191"/>
  <c r="K193" s="1"/>
  <c r="K188"/>
  <c r="L191" i="20"/>
  <c r="L193" s="1"/>
  <c r="L188"/>
  <c r="L20" i="23"/>
  <c r="L23"/>
  <c r="L25" s="1"/>
  <c r="K116"/>
  <c r="K119"/>
  <c r="K121" s="1"/>
  <c r="L71" i="22"/>
  <c r="L73" s="1"/>
  <c r="L68"/>
  <c r="L119"/>
  <c r="L121" s="1"/>
  <c r="L116"/>
  <c r="L119" i="20"/>
  <c r="L121" s="1"/>
  <c r="L116"/>
  <c r="K91" i="22"/>
  <c r="K87"/>
  <c r="K43"/>
  <c r="K39"/>
  <c r="L23"/>
  <c r="L25" s="1"/>
  <c r="L20"/>
  <c r="L47" i="23"/>
  <c r="L49" s="1"/>
  <c r="L44"/>
  <c r="L95"/>
  <c r="L97" s="1"/>
  <c r="L92"/>
  <c r="L95" i="22"/>
  <c r="L97" s="1"/>
  <c r="L92"/>
  <c r="K143" i="20"/>
  <c r="K145" s="1"/>
  <c r="K140"/>
  <c r="L95"/>
  <c r="L97" s="1"/>
  <c r="L92"/>
  <c r="L143"/>
  <c r="L145" s="1"/>
  <c r="L140"/>
  <c r="K167" i="23"/>
  <c r="K169" s="1"/>
  <c r="K164"/>
  <c r="K63" i="22"/>
  <c r="K48" l="1"/>
  <c r="K49" s="1"/>
  <c r="K44"/>
  <c r="K96"/>
  <c r="K97" s="1"/>
  <c r="K92"/>
  <c r="N67" i="28"/>
  <c r="K24" i="22"/>
  <c r="K25" s="1"/>
  <c r="K20"/>
  <c r="N68" i="28" l="1"/>
  <c r="P66" l="1"/>
  <c r="P67"/>
  <c r="P68" l="1"/>
  <c r="G66" s="1"/>
  <c r="R66" s="1"/>
</calcChain>
</file>

<file path=xl/comments1.xml><?xml version="1.0" encoding="utf-8"?>
<comments xmlns="http://schemas.openxmlformats.org/spreadsheetml/2006/main">
  <authors>
    <author>Автор</author>
  </authors>
  <commentList>
    <comment ref="U46" authorId="0">
      <text>
        <r>
          <rPr>
            <b/>
            <sz val="9"/>
            <color indexed="81"/>
            <rFont val="Tahoma"/>
            <family val="2"/>
            <charset val="204"/>
          </rPr>
          <t>без оплаты (затраты в тариф)</t>
        </r>
      </text>
    </comment>
    <comment ref="U47" authorId="0">
      <text>
        <r>
          <rPr>
            <b/>
            <sz val="9"/>
            <color indexed="81"/>
            <rFont val="Tahoma"/>
            <family val="2"/>
            <charset val="204"/>
          </rPr>
          <t>без оплаты (затраты в тариф)</t>
        </r>
      </text>
    </comment>
    <comment ref="U72" authorId="0">
      <text>
        <r>
          <rPr>
            <b/>
            <sz val="9"/>
            <color indexed="81"/>
            <rFont val="Tahoma"/>
            <family val="2"/>
            <charset val="204"/>
          </rPr>
          <t>без оплаты (затраты в тариф)</t>
        </r>
      </text>
    </comment>
    <comment ref="U75" authorId="0">
      <text>
        <r>
          <rPr>
            <b/>
            <sz val="9"/>
            <color indexed="81"/>
            <rFont val="Tahoma"/>
            <family val="2"/>
            <charset val="204"/>
          </rPr>
          <t>без оплаты (затраты в тариф)</t>
        </r>
      </text>
    </comment>
  </commentList>
</comments>
</file>

<file path=xl/comments2.xml><?xml version="1.0" encoding="utf-8"?>
<comments xmlns="http://schemas.openxmlformats.org/spreadsheetml/2006/main">
  <authors>
    <author>Автор</author>
  </authors>
  <commentList>
    <comment ref="D881" authorId="0">
      <text>
        <r>
          <rPr>
            <b/>
            <sz val="10"/>
            <color indexed="81"/>
            <rFont val="Tahoma"/>
            <family val="2"/>
            <charset val="204"/>
          </rPr>
          <t>Автор:</t>
        </r>
        <r>
          <rPr>
            <sz val="10"/>
            <color indexed="81"/>
            <rFont val="Tahoma"/>
            <family val="2"/>
            <charset val="204"/>
          </rPr>
          <t xml:space="preserve">
СЭТ-4ТМ.03.М.01- 5шт
</t>
        </r>
      </text>
    </comment>
  </commentList>
</comments>
</file>

<file path=xl/comments3.xml><?xml version="1.0" encoding="utf-8"?>
<comments xmlns="http://schemas.openxmlformats.org/spreadsheetml/2006/main">
  <authors>
    <author>Автор</author>
  </authors>
  <commentList>
    <comment ref="G17" authorId="0">
      <text>
        <r>
          <rPr>
            <b/>
            <sz val="9"/>
            <color indexed="81"/>
            <rFont val="Tahoma"/>
            <family val="2"/>
            <charset val="204"/>
          </rPr>
          <t xml:space="preserve">  ='\\Srv-data\public_new\Коммерческая служба\1 бух\Показатели надежности для РСТо для тарифа на ЭЭ\факт 2015 г\[69450110.xls]факт 2015'!C44
</t>
        </r>
      </text>
    </comment>
  </commentList>
</comments>
</file>

<file path=xl/comments4.xml><?xml version="1.0" encoding="utf-8"?>
<comments xmlns="http://schemas.openxmlformats.org/spreadsheetml/2006/main">
  <authors>
    <author>Автор</author>
  </authors>
  <commentList>
    <comment ref="F26" authorId="0">
      <text>
        <r>
          <rPr>
            <b/>
            <sz val="8"/>
            <color indexed="81"/>
            <rFont val="Tahoma"/>
            <family val="2"/>
            <charset val="204"/>
          </rPr>
          <t>=+'\\Srv-data\public_new\Коммерческая служба\1 бух\2018\ЭЭ\РАСЧЕТНЫЕ ТАБЛИЦЫ\[СМЕТА на 2018 РСМ 13 04 2017.xlsx]2018 у.е.увелич.РСТ'!$H$16</t>
        </r>
      </text>
    </comment>
    <comment ref="G26" authorId="0">
      <text>
        <r>
          <rPr>
            <b/>
            <sz val="8"/>
            <color indexed="81"/>
            <rFont val="Tahoma"/>
            <family val="2"/>
            <charset val="204"/>
          </rPr>
          <t>=+'\\Srv-data\public_new\Коммерческая служба\1 бух\2018\ЭЭ\РАСЧЕТНЫЕ ТАБЛИЦЫ\[СМЕТА на 2018 РСМ 13 04 2017.xlsx]2018 у.е.увелич.РСТ'!$J$16</t>
        </r>
      </text>
    </comment>
    <comment ref="H26" authorId="0">
      <text>
        <r>
          <rPr>
            <b/>
            <sz val="8"/>
            <color indexed="81"/>
            <rFont val="Tahoma"/>
            <family val="2"/>
            <charset val="204"/>
          </rPr>
          <t>=+'\\Srv-data\public_new\Коммерческая служба\1 бух\2018\ЭЭ\РАСЧЕТНЫЕ ТАБЛИЦЫ\[СМЕТА на 2018 РСМ 13 04 2017.xlsx]2018 у.е.увелич.РСТ'!$AB$16</t>
        </r>
      </text>
    </comment>
    <comment ref="F31" authorId="0">
      <text>
        <r>
          <rPr>
            <b/>
            <sz val="8"/>
            <color indexed="81"/>
            <rFont val="Tahoma"/>
            <family val="2"/>
            <charset val="204"/>
          </rPr>
          <t>=+'\\Srv-data\public_new\Коммерческая служба\1 бух\2018\ЭЭ\РАСЧЕТНЫЕ ТАБЛИЦЫ\[СМЕТА на 2018 РСМ 13 04 2017.xlsx]2018 у.е.увелич.РСТ'!$H$3</t>
        </r>
      </text>
    </comment>
    <comment ref="H59" authorId="0">
      <text>
        <r>
          <rPr>
            <b/>
            <sz val="8"/>
            <color indexed="81"/>
            <rFont val="Tahoma"/>
            <family val="2"/>
            <charset val="204"/>
          </rPr>
          <t>=+'Z:\ЕИАС\Отправленные\2016\[ENERGY.KTL.LT.CALC.NVV.NET.3.61 2017_16 04 2016 РСТ.xls]Расчёт расходов'!$BC$87+H61</t>
        </r>
      </text>
    </comment>
    <comment ref="H61" authorId="0">
      <text>
        <r>
          <rPr>
            <b/>
            <sz val="8"/>
            <color indexed="81"/>
            <rFont val="Tahoma"/>
            <family val="2"/>
            <charset val="204"/>
          </rPr>
          <t>=+'Z:\ЕИАС\Отправленные\2016\[ENERGY.KTL.LT.CALC.NVV.NET.3.61 2017_16 04 2016 РСТ.xls]Расчёт расходов'!$BC$93+'Z:\ЕИАС\Отправленные\2016\[ENERGY.KTL.LT.CALC.NVV.NET.3.61 2017_16 04 2016 РСТ.xls]Расчёт расходов'!$BC$58</t>
        </r>
      </text>
    </comment>
  </commentList>
</comments>
</file>

<file path=xl/sharedStrings.xml><?xml version="1.0" encoding="utf-8"?>
<sst xmlns="http://schemas.openxmlformats.org/spreadsheetml/2006/main" count="22314" uniqueCount="5093">
  <si>
    <t>Течеискатель Dilo-3-0.33-R002, инв.№00250263</t>
  </si>
  <si>
    <t>Трансформаторная подстанция литер АЕ, инв.№00002002</t>
  </si>
  <si>
    <t>Трасформатор тока элегазовый зав. № 5081, инв.№00250260</t>
  </si>
  <si>
    <t>Трасформатор тока элегазовый зав. № 5082, инв.№00250261</t>
  </si>
  <si>
    <t>Трасформатор тока элегазовый зав. № 5083, инв.№00250262</t>
  </si>
  <si>
    <t>Трасформатор тока элегазовый зав. № 5084, инв.№00250257</t>
  </si>
  <si>
    <t>Трасформатор тока элегазовый зав. № 5085, инв.№00250258</t>
  </si>
  <si>
    <t>Трасформатор тока элегазовый зав. № 5086, инв.№00250259</t>
  </si>
  <si>
    <t>Электрогенератор ЕВ13,5/400 SLE ENERGO, инв.№00250265</t>
  </si>
  <si>
    <t>ЯЧЕЙКА ГЕНЕРАТОРА, инв.№00018810</t>
  </si>
  <si>
    <t>Отчет по основным средствам (ВВОД, МОДЕРНИЗАЦИЯ)</t>
  </si>
  <si>
    <t>за 2011 год.</t>
  </si>
  <si>
    <t>Автомат газированной воды "Дельта" М-150ЭСБ, инв.№02502760</t>
  </si>
  <si>
    <t>БЛОК ЭКОНОМАЙЗЕРОВ, инв.№00831980</t>
  </si>
  <si>
    <t>Аппарат магнитной обработки воды АМО-200, инв.№02502770</t>
  </si>
  <si>
    <t>ВНУТЗАВ.КАБ.С.ОТ ТЭЦ ДО Ц.ГАЛЬВАНОП     Э, инв.№02421600</t>
  </si>
  <si>
    <t>Водонапорная станция техн. Воды стены, инв.№00002000</t>
  </si>
  <si>
    <t>Расходомер-счетчик ультразвуковой, инв.№02241590</t>
  </si>
  <si>
    <t>Выключатель колонковый элегазовый зав.№193, инв.№02502540</t>
  </si>
  <si>
    <t>Трактор Т-40 (5788 РХ), инв.№00787380</t>
  </si>
  <si>
    <t>Выключатель колонковый элегазовый зав.№194, инв.№02502560</t>
  </si>
  <si>
    <t>ЧУГУННЫЙ ГРУПЭКОНОМАЙЗЕР, инв.№02930900</t>
  </si>
  <si>
    <t>Генератор сварочный MOTOINVERTOR 204, инв.№02502750</t>
  </si>
  <si>
    <t>ЧУГУННЫЙ ГРУПЭКОНОМАЙЗЕР, инв.№02930901</t>
  </si>
  <si>
    <t>Главный паропровод ТЭЦ котлов 1-7, инв.№02502900</t>
  </si>
  <si>
    <t>ЩИТ ПАНЕЛЕЙ ЭПЗ-1636    Э, инв.№00299230</t>
  </si>
  <si>
    <t>Компрессор К-6, инв.№02502810</t>
  </si>
  <si>
    <t>Манометр грузопоршневой МП-60 кл.точн.0,05, инв.№02502700</t>
  </si>
  <si>
    <t>Насос КС 12-50 с 5,5х3000, инв.№02502880</t>
  </si>
  <si>
    <t>Насос СМ150-125-315Б/4 22,0х1500, инв.№02502720</t>
  </si>
  <si>
    <t>Насос центробеж. конс. ЦНК-100/200-182-37/2-400, инв.№02502740</t>
  </si>
  <si>
    <t>Насос центробеж. конс. ЦНК-125/250-270-15/4-400, инв.№02502730</t>
  </si>
  <si>
    <t>Сборный газоход котлов №2-7, инв.№02502890</t>
  </si>
  <si>
    <t>Сервер CityLine Swift MT3080-19 XE5650/8Gb/HSSS146, инв.№00276590</t>
  </si>
  <si>
    <t>Система безударного пуска УБПВД-ВЦ-6-400 УХЛ4, инв.№02502710</t>
  </si>
  <si>
    <t>Станция обеззараживания сточных вод, инв.№02502800</t>
  </si>
  <si>
    <t>Теплообменник 2NT 150SHV/CD-10/85, инв.№02502830</t>
  </si>
  <si>
    <t>Теплообменник 2NT 150SHV/CD-10/85, инв.№02502840</t>
  </si>
  <si>
    <t>Трактор "Белорус-80.1", инв.№02502820</t>
  </si>
  <si>
    <t>Трансформаторная подстанция ТП-13, инв.№02502790</t>
  </si>
  <si>
    <t>Трубопровод воды ПК и  Х.Б.К. СИиТО с узлом учета холодной воды  (к1-к9), инв.№02502780</t>
  </si>
  <si>
    <t>Установка испытательная Тангенс-3М, инв.№02502850</t>
  </si>
  <si>
    <t>Установка испытательная УИМ-90, инв.№02502860</t>
  </si>
  <si>
    <t>Устройство для очистки труб Торнадо-Z, инв.№02502870</t>
  </si>
  <si>
    <t>Шинный разъединитель с ручным приводом Т-1 ГПП-1, инв.№02502680</t>
  </si>
  <si>
    <t>Шинный разъединитель с ручным приводом Т-2 ГПП-1, инв.№02502690</t>
  </si>
  <si>
    <t>Ячейка КРУ трансформатора 5 ТЭЦ, инв.№00240310</t>
  </si>
  <si>
    <t>Ячейка КРУ трансформатора 5 ТЭЦ, инв.№00240320</t>
  </si>
  <si>
    <t>за 2012 год.</t>
  </si>
  <si>
    <t>Автомобиль LADA, 212140 (ХТА212140С2079115), инв.№08707905</t>
  </si>
  <si>
    <t>Автомобиль ВАЗ-21214 (Т763АН161), инв.№02501750</t>
  </si>
  <si>
    <t>Автопогрузчик HELI FD-15, инв.№08707904</t>
  </si>
  <si>
    <t>КАБ.ТРАССА 6КВ ЯЧ.15РУ ДСЦ-Я    Э, инв.№00835850</t>
  </si>
  <si>
    <t>Котел паровой №3 Де-25-24-380 ГМ-О, инв.№02502940</t>
  </si>
  <si>
    <t>УСТАНОВКА  ПОЛУЧЕНИЯ И НАКОПЛ.УГЛЕК., инв.№02692001</t>
  </si>
  <si>
    <t>Мини-АТС LG-Ericsson MG-IPECS, инв.№08707902</t>
  </si>
  <si>
    <t>Принтер HP Color LaserJet 2840, инв.№02502060</t>
  </si>
  <si>
    <t>Насос Д-320/50, инв.№02502950</t>
  </si>
  <si>
    <t>Сервер L320A671, инв.№02500060</t>
  </si>
  <si>
    <t>Оборот. водоснабжение градирни насосные баки, инв.№00004510</t>
  </si>
  <si>
    <t>МФУ Xerox Phaser 6110MFPX, инв.№02502330</t>
  </si>
  <si>
    <t>ПАРОВОЙ КОТЕЛ N 9 ТС-30, инв.№01890501</t>
  </si>
  <si>
    <t>Компьютер CPU s775 intel Celeron D331, инв.№02501410</t>
  </si>
  <si>
    <t>ПАРОВОЙ КОТЕЛ N8 ТС-30, инв.№00189020</t>
  </si>
  <si>
    <t>Компьютер, инв.№01149180</t>
  </si>
  <si>
    <t>Подогреватель пароводяной ПП1-32-0,7-2(Н) №1, инв.№08707907</t>
  </si>
  <si>
    <t>Компьютер CEL 2267/256/40, инв.№02500850</t>
  </si>
  <si>
    <t>Подогреватель пароводяной ПП1-32-0,7-2(Н) №2, инв.№08707908</t>
  </si>
  <si>
    <t>Принтер EPSON STYLUS PHOTO 1290 Silver, А3+, 2880,, инв.№02501280</t>
  </si>
  <si>
    <t>Подогреватель пароводяной ПП1-71-2-II, инв.№08707912</t>
  </si>
  <si>
    <t>Компьютер CEL 2267/8S661/256/40/CD-ROM, инв.№02500760</t>
  </si>
  <si>
    <t>Преобразователь частот. EI-P7012-30H 22кВт/конд, инв.№08707910</t>
  </si>
  <si>
    <t>Компьютер 661FXME/CЕL 2267/256/80 CD-ROM, инв.№02500930</t>
  </si>
  <si>
    <t>Преобразователь частот. EI-P7012-40H 30кВт/эжект, инв.№08707909</t>
  </si>
  <si>
    <t>Компьютер Seleron 2,2 P4 ВР, инв.№02500320</t>
  </si>
  <si>
    <t>Станция КНС ул.Веры Пановой, инв.№00005690</t>
  </si>
  <si>
    <t>Компьютер CityLine Giga E30 C2/0/256/40 0088318738, инв.№02500260</t>
  </si>
  <si>
    <t>Тепловизор testo 875-1, инв.№08707906</t>
  </si>
  <si>
    <t>МАШИНА ДЛЯ ВЫГРУЗКИ СОЛИ №2, инв.№01087770</t>
  </si>
  <si>
    <t>Теплотрасса ЮГ, инв.№00039500</t>
  </si>
  <si>
    <t>Компьютер Sempron К8М800/256/НDD-80/SVGA/DVD-R №2, инв.№02501250</t>
  </si>
  <si>
    <t>Турбокомпрессор № 2 ЦЗК, инв.№02502920</t>
  </si>
  <si>
    <t>Компьютер Celeron 3/3/512/80/GA-945GCM-S2, инв.№02501800</t>
  </si>
  <si>
    <t>Частотный преобразователь EI-P7012-200H 160 кВт 380 В, инв.№08707903</t>
  </si>
  <si>
    <t>Штепсель Ш4</t>
  </si>
  <si>
    <t>270</t>
  </si>
  <si>
    <t>0009103851</t>
  </si>
  <si>
    <t>Штепсель ШП 4-2</t>
  </si>
  <si>
    <t>271</t>
  </si>
  <si>
    <t>0009103600</t>
  </si>
  <si>
    <t>Щит освещения ОЩВ-10</t>
  </si>
  <si>
    <t>272</t>
  </si>
  <si>
    <t>0003705017</t>
  </si>
  <si>
    <t>Щит освещения ОЩВ-12 25А</t>
  </si>
  <si>
    <t>273</t>
  </si>
  <si>
    <t>0003704945</t>
  </si>
  <si>
    <t>Щит освещения ОЩВ-2</t>
  </si>
  <si>
    <t>274</t>
  </si>
  <si>
    <t>0003621016</t>
  </si>
  <si>
    <t>Щит освещения ОЩВ-6 (25 А) (СТ)</t>
  </si>
  <si>
    <t>12.1.123</t>
  </si>
  <si>
    <t>0003704380</t>
  </si>
  <si>
    <t>Болт М10х10</t>
  </si>
  <si>
    <t>0009003808</t>
  </si>
  <si>
    <t>Болт М10х20</t>
  </si>
  <si>
    <t>0003704381</t>
  </si>
  <si>
    <t>Болт М10х40</t>
  </si>
  <si>
    <t>0006422403</t>
  </si>
  <si>
    <t>Болт М10х60</t>
  </si>
  <si>
    <t>0009002726</t>
  </si>
  <si>
    <t>Болт М12х20</t>
  </si>
  <si>
    <t>0009003809</t>
  </si>
  <si>
    <t>Болт М12х40</t>
  </si>
  <si>
    <t>0006422365</t>
  </si>
  <si>
    <t>Болт М12х60</t>
  </si>
  <si>
    <t>0006422327</t>
  </si>
  <si>
    <t>Болт М12х80</t>
  </si>
  <si>
    <t>0003704385</t>
  </si>
  <si>
    <t>Болт М14х20</t>
  </si>
  <si>
    <t>0006422392</t>
  </si>
  <si>
    <t>Болт М14х40</t>
  </si>
  <si>
    <t>0006422376</t>
  </si>
  <si>
    <t>Болт М14х60 ГОСТ 7798-70</t>
  </si>
  <si>
    <t>0009002996</t>
  </si>
  <si>
    <t>Болт М14х80</t>
  </si>
  <si>
    <t>0006422379</t>
  </si>
  <si>
    <t>Болт М16х100</t>
  </si>
  <si>
    <t>0003704388</t>
  </si>
  <si>
    <t>Болт М16х20</t>
  </si>
  <si>
    <t>0003704389</t>
  </si>
  <si>
    <t>Болт М16х40</t>
  </si>
  <si>
    <t>0006422060</t>
  </si>
  <si>
    <t>Болт М16х60 ГОСT 7798-70</t>
  </si>
  <si>
    <t>0009002731</t>
  </si>
  <si>
    <t>Болт М16х80</t>
  </si>
  <si>
    <t>0006422330</t>
  </si>
  <si>
    <t>Болт М20х100</t>
  </si>
  <si>
    <t>0003704391</t>
  </si>
  <si>
    <t>Болт М20х20</t>
  </si>
  <si>
    <t>0003704392</t>
  </si>
  <si>
    <t>Болт М20х40</t>
  </si>
  <si>
    <t>0009103621</t>
  </si>
  <si>
    <t>Болт М20х60</t>
  </si>
  <si>
    <t>0009003007</t>
  </si>
  <si>
    <t>Болт М20х80</t>
  </si>
  <si>
    <t>0003704393</t>
  </si>
  <si>
    <t>Болт М4х10</t>
  </si>
  <si>
    <t>0003704394</t>
  </si>
  <si>
    <t>Болт М5х10</t>
  </si>
  <si>
    <t>0009003022</t>
  </si>
  <si>
    <t>Болт М5х20</t>
  </si>
  <si>
    <t>0003704396</t>
  </si>
  <si>
    <t>Болт М6х10</t>
  </si>
  <si>
    <t>0006422404</t>
  </si>
  <si>
    <t>Болт М6х20</t>
  </si>
  <si>
    <t>0003704395</t>
  </si>
  <si>
    <t>Болт М8х10</t>
  </si>
  <si>
    <t>0003704397</t>
  </si>
  <si>
    <t>Болт М8х20</t>
  </si>
  <si>
    <t>0006422375</t>
  </si>
  <si>
    <t>Болт М8х40</t>
  </si>
  <si>
    <t>0009104241</t>
  </si>
  <si>
    <t>Болт М8х80</t>
  </si>
  <si>
    <t>0002307002</t>
  </si>
  <si>
    <t>Ветошь</t>
  </si>
  <si>
    <t>0006413129</t>
  </si>
  <si>
    <t>Винт М4х10</t>
  </si>
  <si>
    <t>0006413130</t>
  </si>
  <si>
    <t>Винт М5х10</t>
  </si>
  <si>
    <t>0009002395</t>
  </si>
  <si>
    <t>Гайка М12</t>
  </si>
  <si>
    <t>0006423069</t>
  </si>
  <si>
    <t>Гайка М16</t>
  </si>
  <si>
    <t>0003704401</t>
  </si>
  <si>
    <t>Гайка М20</t>
  </si>
  <si>
    <t>0009002738</t>
  </si>
  <si>
    <t>Гайка М5</t>
  </si>
  <si>
    <t>0006423065</t>
  </si>
  <si>
    <t>Гайка М6  ГОСТ 5915-70</t>
  </si>
  <si>
    <t>0006945165</t>
  </si>
  <si>
    <t>Гетинакс эл. тех. листовой ГОСТ 2718-74 10мм</t>
  </si>
  <si>
    <t>0006945161</t>
  </si>
  <si>
    <t>Гетинакс эл. тех. листовой ГОСТ 2718-74 4мм</t>
  </si>
  <si>
    <t>0006945162</t>
  </si>
  <si>
    <t>Гетинакс эл. тех. листовой ГОСТ 2718-74 5мм</t>
  </si>
  <si>
    <t>0006945163</t>
  </si>
  <si>
    <t>Гетинакс эл. тех. листовой ГОСТ 2718-74 6мм</t>
  </si>
  <si>
    <t>0006945164</t>
  </si>
  <si>
    <t>Гетинакс эл. тех. листовой ГОСТ 2718-74 8мм</t>
  </si>
  <si>
    <t>0003704371</t>
  </si>
  <si>
    <t>Дюбель с шурупом М10х100</t>
  </si>
  <si>
    <t>0006413125</t>
  </si>
  <si>
    <t>Дюбель с шурупом М10х60</t>
  </si>
  <si>
    <t>0009103506</t>
  </si>
  <si>
    <t>Дюбель с шурупом М5х40</t>
  </si>
  <si>
    <t>0009104466</t>
  </si>
  <si>
    <t>Дюбель с шурупом М5х50</t>
  </si>
  <si>
    <t>0006413107</t>
  </si>
  <si>
    <t>Дюбель с шурупом М6х40</t>
  </si>
  <si>
    <t>0006413117</t>
  </si>
  <si>
    <t>Дюбель с шурупом М6х80</t>
  </si>
  <si>
    <t>0006413116</t>
  </si>
  <si>
    <t>Дюбель с шурупом М8х100</t>
  </si>
  <si>
    <t>0006413106</t>
  </si>
  <si>
    <t>Дюбель с шурупом М8х60</t>
  </si>
  <si>
    <t>0009104468</t>
  </si>
  <si>
    <t>Дюбель-гвоздь ДГ 5х30</t>
  </si>
  <si>
    <t>0009104469</t>
  </si>
  <si>
    <t>Дюбель-гвоздь ДГ 5х40</t>
  </si>
  <si>
    <t>0009104467</t>
  </si>
  <si>
    <t>Дюбель с шурупом М5х60</t>
  </si>
  <si>
    <t>0009104470</t>
  </si>
  <si>
    <t>Дюбель-гвоздь ДГ 5х60</t>
  </si>
  <si>
    <t>0006415121</t>
  </si>
  <si>
    <t>Дюбель-гвоздь М5х30</t>
  </si>
  <si>
    <t>0006415123</t>
  </si>
  <si>
    <t>Дюбель-гвоздь М5х40</t>
  </si>
  <si>
    <t>0004202004</t>
  </si>
  <si>
    <t>Жир паяльный</t>
  </si>
  <si>
    <t>0003413063</t>
  </si>
  <si>
    <t>Изолента ПВХ синяя</t>
  </si>
  <si>
    <t>Изолента ПВХ белая</t>
  </si>
  <si>
    <t>Изолента ПВХ желтая</t>
  </si>
  <si>
    <t>Изолента ПВХ желто-зеленая</t>
  </si>
  <si>
    <t>Изолента ПВХ зеленая</t>
  </si>
  <si>
    <t>Изолента ПВХ красная</t>
  </si>
  <si>
    <t>Изолента ПВХ серо-стальная</t>
  </si>
  <si>
    <t>Изолента ПВХ черная</t>
  </si>
  <si>
    <t>0009103313</t>
  </si>
  <si>
    <t>Изолента ХБ</t>
  </si>
  <si>
    <t>0003605719</t>
  </si>
  <si>
    <t>Кабель ААБЛ-6 3х150</t>
  </si>
  <si>
    <t>0003605749</t>
  </si>
  <si>
    <t>Кабель ААБл-6 3х185</t>
  </si>
  <si>
    <t>0009104473</t>
  </si>
  <si>
    <t>Кабель ААШв-6 3х240</t>
  </si>
  <si>
    <t>пог.м</t>
  </si>
  <si>
    <t>0003605743</t>
  </si>
  <si>
    <t>Кабель АВВГ 3х120+1х70</t>
  </si>
  <si>
    <t>0009104474</t>
  </si>
  <si>
    <t>Кабель АВВГ 3х70+1х50</t>
  </si>
  <si>
    <t>0003605691</t>
  </si>
  <si>
    <t>Кабель АВВГ 3х95+1х50</t>
  </si>
  <si>
    <t>0009104475</t>
  </si>
  <si>
    <t>Кабель АСБ-10 3х240</t>
  </si>
  <si>
    <t>0003605506</t>
  </si>
  <si>
    <t>Кабель КГ 1х25  TУ 16К73.05-88</t>
  </si>
  <si>
    <t>0003605840</t>
  </si>
  <si>
    <t>Кабель КГ 3х1,5+1х1,5</t>
  </si>
  <si>
    <t>0003605731</t>
  </si>
  <si>
    <t>Кабель КГ 3х2,5+1х1,5</t>
  </si>
  <si>
    <t>0003605725</t>
  </si>
  <si>
    <t>Кабель КГ 3х4+1х2,5</t>
  </si>
  <si>
    <t>0009104476</t>
  </si>
  <si>
    <t>Кабель КГ 3х6+1х2,5</t>
  </si>
  <si>
    <t>0003605821</t>
  </si>
  <si>
    <t>Объекты, присоединяемые к сетям АО "Коммунальщик Дона"</t>
  </si>
  <si>
    <t>АО "Коммунальщик Дона"</t>
  </si>
  <si>
    <t xml:space="preserve">1.2. </t>
  </si>
  <si>
    <t>Материалы</t>
  </si>
  <si>
    <t xml:space="preserve">1.3.  </t>
  </si>
  <si>
    <t xml:space="preserve">Работы и  услуги производственного характера </t>
  </si>
  <si>
    <t xml:space="preserve">1.4.  </t>
  </si>
  <si>
    <t>Другие обоснованные подконтрольные расходы</t>
  </si>
  <si>
    <t>1.5.</t>
  </si>
  <si>
    <t>Среднесписочная численность персонала</t>
  </si>
  <si>
    <t>человек</t>
  </si>
  <si>
    <t>Среднемесячная заработная плата на одного работника</t>
  </si>
  <si>
    <t>2018 г.</t>
  </si>
  <si>
    <t>СН-II</t>
  </si>
  <si>
    <t>Покупка потерь по ПАО "ТНС энерго Ростов-на-Дону" в 2018 г.</t>
  </si>
  <si>
    <t>Каска защитная серебристая СОМЗ-55 для защиты от электродуги</t>
  </si>
  <si>
    <t>0009104060</t>
  </si>
  <si>
    <t>Щиток защитный лицевой КБТ Energo для защиты от электродуги</t>
  </si>
  <si>
    <t>12.1.210</t>
  </si>
  <si>
    <t>0007318052</t>
  </si>
  <si>
    <t>Валик малярный меховой 200мм</t>
  </si>
  <si>
    <t>0007318044</t>
  </si>
  <si>
    <t>Валик малярный поролоновый 200мм</t>
  </si>
  <si>
    <t>0009103745</t>
  </si>
  <si>
    <t>Длинногубцы изолированные 160мм</t>
  </si>
  <si>
    <t>0009104463</t>
  </si>
  <si>
    <t>Домкрат подкатной профессиональный 5т</t>
  </si>
  <si>
    <t>0009003791</t>
  </si>
  <si>
    <t>Домкрат реечный ручной ДР-10, 10т</t>
  </si>
  <si>
    <t>0009003790</t>
  </si>
  <si>
    <t>Домкрат реечный ручной ДР-5, 5т</t>
  </si>
  <si>
    <t>0009104464</t>
  </si>
  <si>
    <t>Дрель электрическая ручная IРК-500-1</t>
  </si>
  <si>
    <t>0009104471</t>
  </si>
  <si>
    <t>Захват универсальный TAG ГП-1 тн (ГЗП)</t>
  </si>
  <si>
    <t>0009003653</t>
  </si>
  <si>
    <t>Зубило 200мм</t>
  </si>
  <si>
    <t>0003703957</t>
  </si>
  <si>
    <t>Кисть КР 100мм</t>
  </si>
  <si>
    <t>0007318069</t>
  </si>
  <si>
    <t>Кисть КР 25мм</t>
  </si>
  <si>
    <t>0007318084</t>
  </si>
  <si>
    <t>Кисть КР 35мм</t>
  </si>
  <si>
    <t>0007318056</t>
  </si>
  <si>
    <t>Кисть КР 50мм</t>
  </si>
  <si>
    <t>0007318077</t>
  </si>
  <si>
    <t>Кисть КР 70мм</t>
  </si>
  <si>
    <t>0007318054</t>
  </si>
  <si>
    <t>Кисть КФ 100мм</t>
  </si>
  <si>
    <t>0003704488</t>
  </si>
  <si>
    <t>Кисть КФ 25мм</t>
  </si>
  <si>
    <t>0007318053</t>
  </si>
  <si>
    <t>Кисть КФ 35мм</t>
  </si>
  <si>
    <t>0003704490</t>
  </si>
  <si>
    <t>форма 2.1 - Расчет значения индикатора информативности</t>
  </si>
  <si>
    <t>форма 2.2 - Расчет значения индикатора исполнительности</t>
  </si>
  <si>
    <t>форма 2.3 - Расчет значения индикатора результативности</t>
  </si>
  <si>
    <t>Форма. 2.4 - Предложения территориальных сетевых организаций</t>
  </si>
  <si>
    <t>обратной связи</t>
  </si>
  <si>
    <t>по плановым значениям параметров (критериев), характеризующих</t>
  </si>
  <si>
    <t>___________________________________________________________________________</t>
  </si>
  <si>
    <t>индикаторы качества обслуживания потребителей, на каждый расчетный</t>
  </si>
  <si>
    <t>Наименование территориальной сетевой организации</t>
  </si>
  <si>
    <t>период регулирования в пределах долгосрочного периода регулирования</t>
  </si>
  <si>
    <t>Параметр (критерий), характеризующий индикатор</t>
  </si>
  <si>
    <t>Значение</t>
  </si>
  <si>
    <t>Ф / П x 100, %</t>
  </si>
  <si>
    <t>Зависимость</t>
  </si>
  <si>
    <t>Оценочный балл</t>
  </si>
  <si>
    <t>Параметр (показатель), характеризующий индикатор</t>
  </si>
  <si>
    <t>фактическое (Ф)</t>
  </si>
  <si>
    <t>плановое (П)</t>
  </si>
  <si>
    <t>1. Возможность личного приема заявителей и потребителей услуг уполномоченными должностными лицами территориальной сетевой организации - всего</t>
  </si>
  <si>
    <t>1. Соблюдение сроков по процедурам взаимодействия с потребителями услуг (заявителями) - всего</t>
  </si>
  <si>
    <t>1. Наличие структурного подразделения территориальной сетевой организации по рассмотрению, обработке и принятию мер по обращениям потребителей услуг (наличие - 1, отсутствие - 0)</t>
  </si>
  <si>
    <t>прямая</t>
  </si>
  <si>
    <t>____________________________________________________________</t>
  </si>
  <si>
    <t>в том числе по критериям:</t>
  </si>
  <si>
    <t>2. Степень удовлетворения обращений потребителей услуг</t>
  </si>
  <si>
    <t>1.1.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t>
  </si>
  <si>
    <t>1.1.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(заявителю), дней</t>
  </si>
  <si>
    <t>обратная</t>
  </si>
  <si>
    <t>1.2.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 всего, шт.</t>
  </si>
  <si>
    <t>1.2. Среднее время, необходимое для оборудования точки поставки приборами учета с момента подачи заявления потребителем услуг:</t>
  </si>
  <si>
    <t>2.1. Общее количество обращений потребителей услуг с указанием на ненадлежащее качество услуг по передаче электрической энергии и обслуживание, процентов от общего количества поступивших обращений</t>
  </si>
  <si>
    <t>а) для физических лиц, включая индивидуальных предпринимателей, и юридических лиц - субъектов малого и среднего предпринимательства, дней</t>
  </si>
  <si>
    <t>краткое описание инвестиционной программы (проекта инвестиционной программы) по основным направлениям инвестиционных проектов, в том числе включающее указание целей и обоснование необходимости реализации инвестиционных проектов, вводимой (выводимой) мощности и (или) других характеристик объектов инвестиционной деятельности, места расположения объектов инвестиционной деятельности, сроков ввода (вывода) объектов инвестиционной деятельности, в том числе сроков ввода (вывода) объектов электроэнергетики, показателей энергетической эффективности оборудования и других показателей инвестиционных проектов инвестиционной программы (проекта инвестиционной программы);</t>
  </si>
  <si>
    <t>план финансирования и освоения капитальных вложений по инвестиционным проектам в отношении каждого года периода реализации инвестиционной программы (проекта инвестиционной программы) с указанием по каждому инвестиционному проекту планируемых источников финансирования, полной и остаточной стоимости инвестиционных проектов (по состоянию на начало календарного года, в котором раскрывается инвестиционная программа (проект инвестиционной программы), плановых объемов финансирования и освоения капитальных вложений в отношении каждого года периода реализации инвестиционной программы (проекта инвестиционной программы);</t>
  </si>
  <si>
    <t>результаты расчетов объемов финансовых потребностей, необходимых для строительства объектов электроэнергетики, выполненных в соответствии с укрупненными нормативами цены типовых технологических решений капитального строительства объектов электроэнергетики, утвержденными Министерством энергетики Российской Федерации, а также информацию об использованных при таких расчетах типовых технологических решениях капитального строительства объектов электроэнергетики, их технических показателях и о соответствующих им укрупненных нормативах цены;</t>
  </si>
  <si>
    <t>2.5. Количество отзывов и предложений по вопросам деятельности территориальной сетевой организации, поступивших через обратную связь, в процентах от общего количества поступивших обращений</t>
  </si>
  <si>
    <t>Пресс ручной ПРГ-240 с набором сменных матриц</t>
  </si>
  <si>
    <t>0009104574</t>
  </si>
  <si>
    <t>Префоратор 1500В</t>
  </si>
  <si>
    <t>0009004117</t>
  </si>
  <si>
    <t>Резец отрезной 25х16х140 Т15К6</t>
  </si>
  <si>
    <t>0009103026</t>
  </si>
  <si>
    <t>Резец подрезной 25х16  Т15К6</t>
  </si>
  <si>
    <t>0009104324</t>
  </si>
  <si>
    <t>Резец подрезной с напаянной пластиной 25х16х140 Т15 К6 правы</t>
  </si>
  <si>
    <t>0009004119</t>
  </si>
  <si>
    <t>Резец подрезной упорный 25х16 Т15К6</t>
  </si>
  <si>
    <t>0009103027</t>
  </si>
  <si>
    <t>Резец проходной отогнутый 25х16 Т15К6 левый</t>
  </si>
  <si>
    <t>0009103005</t>
  </si>
  <si>
    <t>Резец проходной прямой 25х16х140</t>
  </si>
  <si>
    <t>0009103018</t>
  </si>
  <si>
    <t>Резец расточной для глухих отверстий  16х16х170</t>
  </si>
  <si>
    <t>0009103009</t>
  </si>
  <si>
    <t>Резец расточной для сквозных отверстий 16х16х140</t>
  </si>
  <si>
    <t>0009103022</t>
  </si>
  <si>
    <t>Резец резьбовой для внутренний резьбы 25х25х240</t>
  </si>
  <si>
    <t>0009004118</t>
  </si>
  <si>
    <t>Резец резьбовой для наружной резьбы 25х16х140 Т15К</t>
  </si>
  <si>
    <t>0000913033</t>
  </si>
  <si>
    <t>Рулетка 10м</t>
  </si>
  <si>
    <t>0000913092</t>
  </si>
  <si>
    <t>Рулетка 5м</t>
  </si>
  <si>
    <t>0000913146</t>
  </si>
  <si>
    <t>Сверло по бетону с ц/хв ф 10х120мм</t>
  </si>
  <si>
    <t>0009103631</t>
  </si>
  <si>
    <t>Сверло по бетону с ц/хв ф 12</t>
  </si>
  <si>
    <t>0000913144</t>
  </si>
  <si>
    <t>Сверло по бетону с ц/хв ф 6х100мм</t>
  </si>
  <si>
    <t>0000913145</t>
  </si>
  <si>
    <t>Сверло по бетону с ц/хв ф 8х120мм</t>
  </si>
  <si>
    <t>0009103536</t>
  </si>
  <si>
    <t>Сверло с кон/хв ф 10,0</t>
  </si>
  <si>
    <t>0000913108</t>
  </si>
  <si>
    <t>Сверло с кон/хв ф 12</t>
  </si>
  <si>
    <t>0000913097</t>
  </si>
  <si>
    <t>Сверло с кон/хв ф 13,0</t>
  </si>
  <si>
    <t>0000913132</t>
  </si>
  <si>
    <t>Сверло с кон/хв ф 16</t>
  </si>
  <si>
    <t>0000913133</t>
  </si>
  <si>
    <t>Сверло с кон/хв ф 17</t>
  </si>
  <si>
    <t>0000913134</t>
  </si>
  <si>
    <t>Сверло с кон/хв ф 18</t>
  </si>
  <si>
    <t>0000913135</t>
  </si>
  <si>
    <t>Сверло с кон/хв ф 19</t>
  </si>
  <si>
    <t>0000913136</t>
  </si>
  <si>
    <t>Сверло с кон/хв ф 20</t>
  </si>
  <si>
    <t>0000913137</t>
  </si>
  <si>
    <t>Сверло с кон/хв ф 21</t>
  </si>
  <si>
    <t>0000913138</t>
  </si>
  <si>
    <t>Сверло с кон/хв ф 22</t>
  </si>
  <si>
    <t>0000913163</t>
  </si>
  <si>
    <t>Сверло с кон/хв ф 32</t>
  </si>
  <si>
    <t>0009103630</t>
  </si>
  <si>
    <t>Сверло с кон/хв ф 6</t>
  </si>
  <si>
    <t>0009103535</t>
  </si>
  <si>
    <t>Сверло с кон/хв ф 8,0</t>
  </si>
  <si>
    <t>0000913087</t>
  </si>
  <si>
    <t>Сверло с ц/хв ф 1,0</t>
  </si>
  <si>
    <t>0000913054</t>
  </si>
  <si>
    <t>Сверло с ц/хв Ф 10,0</t>
  </si>
  <si>
    <t>0000913093</t>
  </si>
  <si>
    <t>Сверло с ц/хв ф 11</t>
  </si>
  <si>
    <t>0000913058</t>
  </si>
  <si>
    <t>Сверло с ц/хв ф 12</t>
  </si>
  <si>
    <t>0000913043</t>
  </si>
  <si>
    <t>Сверло с ц/хв ф 13</t>
  </si>
  <si>
    <t>0000913104</t>
  </si>
  <si>
    <t>Сверло с ц/хв Ф 14,0</t>
  </si>
  <si>
    <t>0000913150</t>
  </si>
  <si>
    <t>Сверло с ц/хв ф 15,0</t>
  </si>
  <si>
    <t>0000913151</t>
  </si>
  <si>
    <t>Сверло с ц/хв ф 16,0</t>
  </si>
  <si>
    <t>0000913164</t>
  </si>
  <si>
    <t>Сверло с ц/хв ф 17,0</t>
  </si>
  <si>
    <t>0000913165</t>
  </si>
  <si>
    <t>Сверло с ц/хв ф 18,0</t>
  </si>
  <si>
    <t>0000913117</t>
  </si>
  <si>
    <t>Сверло с ц/хв Ф 19,0</t>
  </si>
  <si>
    <t>0000913166</t>
  </si>
  <si>
    <t>Сверло с ц/хв ф 20,0</t>
  </si>
  <si>
    <t>0000913024</t>
  </si>
  <si>
    <t>Сверло с ц/хв Ф 3,0</t>
  </si>
  <si>
    <t>0000913152</t>
  </si>
  <si>
    <t>0003704166</t>
  </si>
  <si>
    <t>Ручка шариковая чёрная</t>
  </si>
  <si>
    <t>0002901164</t>
  </si>
  <si>
    <t>Ручка штрих-корректор</t>
  </si>
  <si>
    <t>0003704177</t>
  </si>
  <si>
    <t>Скобы для степлера №10</t>
  </si>
  <si>
    <t>0003704178</t>
  </si>
  <si>
    <t>Скобы для степлера №24</t>
  </si>
  <si>
    <t>0001302089</t>
  </si>
  <si>
    <t>Скотч прозрачный 10х33</t>
  </si>
  <si>
    <t>0009103699</t>
  </si>
  <si>
    <t>Скотч прозрачный 48х60</t>
  </si>
  <si>
    <t>0009103945</t>
  </si>
  <si>
    <t>Скрепки канцелярские 28мм</t>
  </si>
  <si>
    <t>0009103546</t>
  </si>
  <si>
    <t>Скрепки канцелярские 50мм</t>
  </si>
  <si>
    <t>0003704175</t>
  </si>
  <si>
    <t>Степлер №10</t>
  </si>
  <si>
    <t>0003704176</t>
  </si>
  <si>
    <t>Степлер №24</t>
  </si>
  <si>
    <t>0003704162</t>
  </si>
  <si>
    <t>Стержень шариковый синий</t>
  </si>
  <si>
    <t>0003704163</t>
  </si>
  <si>
    <t>Стержень шариковый чёрный</t>
  </si>
  <si>
    <t>0002901065</t>
  </si>
  <si>
    <t>Текстовыделитель</t>
  </si>
  <si>
    <t>0001302078</t>
  </si>
  <si>
    <t>Точилка для карандашей</t>
  </si>
  <si>
    <t>0001302079</t>
  </si>
  <si>
    <t>Файлы А4 100 шт.</t>
  </si>
  <si>
    <t>12.1.740</t>
  </si>
  <si>
    <t>0001302014</t>
  </si>
  <si>
    <t>Бланк "Накладная на внутреннее перемещение, переда</t>
  </si>
  <si>
    <t>0001302004</t>
  </si>
  <si>
    <t>Бланк "Наряд-допуск для работы в электроустановках</t>
  </si>
  <si>
    <t>0003704159</t>
  </si>
  <si>
    <t>Бланк "Наряд-допуск на работы повышеной опасности"</t>
  </si>
  <si>
    <t>0009103681</t>
  </si>
  <si>
    <t>Бланк "Наряд-допуск"</t>
  </si>
  <si>
    <t>0003704125</t>
  </si>
  <si>
    <t>Бланк "Протокол проверки знаний норм и правил" А4</t>
  </si>
  <si>
    <t>0001302040</t>
  </si>
  <si>
    <t>Бланк "Суточная ведомость подстанции ГПП-1" А3 дву</t>
  </si>
  <si>
    <t>0009103594</t>
  </si>
  <si>
    <t>Бланк "Суточная ведомость подстанции ГПП-1" А4</t>
  </si>
  <si>
    <t>0009104454</t>
  </si>
  <si>
    <t>Бланк "Суточная ведомость подстанции ГПП-3" А3 двусторонняя</t>
  </si>
  <si>
    <t>0001302056</t>
  </si>
  <si>
    <t>Бланк "Суточная ведомость подстанции ГПП-4" А3 двухсторонняя</t>
  </si>
  <si>
    <t>0009103520</t>
  </si>
  <si>
    <t>Бланк «Дефектная ведомость» А4 двусторонняя</t>
  </si>
  <si>
    <t>0003704128</t>
  </si>
  <si>
    <t>Бланк переключений А4</t>
  </si>
  <si>
    <t>0002901161</t>
  </si>
  <si>
    <t>Журнал оперативный</t>
  </si>
  <si>
    <t>0002901165</t>
  </si>
  <si>
    <t>Журнал учета работ по нарядам и распоряжениям</t>
  </si>
  <si>
    <t>Знак "Запрещается загромождать проходы и (или) складировать"</t>
  </si>
  <si>
    <t>Знак "Ответственный за пожарную безопасность 100х200"</t>
  </si>
  <si>
    <t>Знак "Стой! Опасная зона. Ведутся работы. Стой! 150х300"</t>
  </si>
  <si>
    <t>Знак "Проход держи свободным 150х300"</t>
  </si>
  <si>
    <t>Знак "Ремонт оборудования 150х300"</t>
  </si>
  <si>
    <t>Знак "Осторожно сварка 150х300"</t>
  </si>
  <si>
    <t>Знак "Песок 150х300"</t>
  </si>
  <si>
    <t>Знак "Проход держать свободным 200х200"</t>
  </si>
  <si>
    <t>Знка "Комната отдыха 120х310"</t>
  </si>
  <si>
    <t>Знак "Комната приема пищи 120х310"</t>
  </si>
  <si>
    <t>Знак "Пункт (место) приема пищи 100х100"</t>
  </si>
  <si>
    <t>Знак "Диспетчерская 120х310"</t>
  </si>
  <si>
    <t>Знак "Ведется видеонаблюдение 150х200"</t>
  </si>
  <si>
    <t>Знак "Стой! Напряжение 150х300"</t>
  </si>
  <si>
    <t>Знак "Пункт приема гигиенических процедур (душевые) 200х200"</t>
  </si>
  <si>
    <t>Знак "Пожарный гидрант 200х200"</t>
  </si>
  <si>
    <t>Знак "Место размещ. неск. средств противопож. защиты 150х150</t>
  </si>
  <si>
    <t>Знак "Место размещ. неск. средств противопож. защиты 200х200</t>
  </si>
  <si>
    <t>Знак "Огнетушитель 100х100"</t>
  </si>
  <si>
    <t>Знак "Огнетушитель 150х150"</t>
  </si>
  <si>
    <t>Знак "Пожарный кран 150х150"</t>
  </si>
  <si>
    <t>Знак "Работать в защитном щитке 200х200"</t>
  </si>
  <si>
    <t>Знак "Доступ посторонним запрещен 200х400"</t>
  </si>
  <si>
    <t>Знак "Доступ посторонним запрещен" 200х200</t>
  </si>
  <si>
    <t>Знак "Осторожно! Возможно травмирование рук" 200х200</t>
  </si>
  <si>
    <t>Знак "Газовый баллон" 200х200</t>
  </si>
  <si>
    <t>Знак "Пожароопасно! Легковоспламеняющиеся вещества" 150х150</t>
  </si>
  <si>
    <t>Знак "Опасность поражения электрическим током" 150х150</t>
  </si>
  <si>
    <t>Знак "Опасность поражения электрическим током" 200х200</t>
  </si>
  <si>
    <t>Знак "Не включать, работают люди" 100х200</t>
  </si>
  <si>
    <t>Знак "Не включать! Кабель поврежден" 140х250</t>
  </si>
  <si>
    <t>Знак "Не допускай пролива нефтепродуктов" 150х300</t>
  </si>
  <si>
    <t>Знак "Заземлено" 100х200</t>
  </si>
  <si>
    <t>Знак безопасности "Работать здесь" 250х250мм</t>
  </si>
  <si>
    <t>Знак "Испытание. Опасно для жизни!" 150х300</t>
  </si>
  <si>
    <t>Знак "Место курения 200х200"</t>
  </si>
  <si>
    <t>Плакат "Оказания первой помощи пострадавшим"</t>
  </si>
  <si>
    <t>Плакат " Пожарная безопасность"</t>
  </si>
  <si>
    <t>Плакат "Техника безопасности при сварочных работах"</t>
  </si>
  <si>
    <t>Знак «Ответственный за противопожарное состояние» 100х200</t>
  </si>
  <si>
    <t>Знак «Категория помещения, класс зоны помещения» 100х200</t>
  </si>
  <si>
    <t>Знак «Ответственный за электробезопасность» 100х200</t>
  </si>
  <si>
    <t>0000000051</t>
  </si>
  <si>
    <t>Руководство по ремонту ГАЗ 3307</t>
  </si>
  <si>
    <t>0009103702</t>
  </si>
  <si>
    <t>Руководство по эксплуатации ГАЗ-3110 двиг. 402-406</t>
  </si>
  <si>
    <t>0009103703</t>
  </si>
  <si>
    <t>Руководство по эксплуатации ГАЗ-66</t>
  </si>
  <si>
    <t>12.1.750</t>
  </si>
  <si>
    <t>0003702788</t>
  </si>
  <si>
    <t>Картридж HP Laser Jet 1010/1200/1220 (Q2612A)</t>
  </si>
  <si>
    <t>0009003917</t>
  </si>
  <si>
    <t>Картридж XEROX PHASER 3119</t>
  </si>
  <si>
    <t>12.1.790</t>
  </si>
  <si>
    <t>0007410224</t>
  </si>
  <si>
    <t>Аптечка автомобильная</t>
  </si>
  <si>
    <t>0009104389</t>
  </si>
  <si>
    <t>Аптечка промышленная Аполло</t>
  </si>
  <si>
    <t>0009104116</t>
  </si>
  <si>
    <t>Блок полиспастный БП-0,3</t>
  </si>
  <si>
    <t>0009104179</t>
  </si>
  <si>
    <t>Блок полиспастный БП-3</t>
  </si>
  <si>
    <t>0007318033</t>
  </si>
  <si>
    <t>Ведро оцинкованное 12л</t>
  </si>
  <si>
    <t>0007321001</t>
  </si>
  <si>
    <t>Ведро пластиковое 12 л</t>
  </si>
  <si>
    <t>0004209016</t>
  </si>
  <si>
    <t>Веник промышленный</t>
  </si>
  <si>
    <t>0009103641</t>
  </si>
  <si>
    <t>Горелка газовоздушная ГВ-1</t>
  </si>
  <si>
    <t>0004202006</t>
  </si>
  <si>
    <t>Жидкость чистящая для окон</t>
  </si>
  <si>
    <t>0003815147</t>
  </si>
  <si>
    <t>Замок навесной</t>
  </si>
  <si>
    <t>0003815142</t>
  </si>
  <si>
    <t>Замок накладной</t>
  </si>
  <si>
    <t>0009104109</t>
  </si>
  <si>
    <t>Канат капроновый 9 мм</t>
  </si>
  <si>
    <t>0002305099</t>
  </si>
  <si>
    <t>Канат пеньковый ф 16</t>
  </si>
  <si>
    <t>0009104181</t>
  </si>
  <si>
    <t>Канат плетёный лавсановый 12мм</t>
  </si>
  <si>
    <t>0009103998</t>
  </si>
  <si>
    <t>Канат плетёный лавсановый 16мм</t>
  </si>
  <si>
    <t>0009104108</t>
  </si>
  <si>
    <t>Канат плетёный лавсановый 20мм</t>
  </si>
  <si>
    <t>0002305077</t>
  </si>
  <si>
    <t>Канат стальной ф 6,2 мм ГОСТ 2688-80</t>
  </si>
  <si>
    <t>0006902828</t>
  </si>
  <si>
    <t>Канистра металическая под ГСМ 20 л</t>
  </si>
  <si>
    <t>0003702847</t>
  </si>
  <si>
    <t>Кондиционер оконный  Gree КС-20/С1</t>
  </si>
  <si>
    <t>0003702856</t>
  </si>
  <si>
    <t>Кондиционер оконный  Gree КС-53/С2</t>
  </si>
  <si>
    <t>0003615976</t>
  </si>
  <si>
    <t>Кружка фарфоровая с носиком 1000 мл</t>
  </si>
  <si>
    <t>0003616017</t>
  </si>
  <si>
    <t>Кружка фарфоровая с носиком 500 мл</t>
  </si>
  <si>
    <t>0003611805</t>
  </si>
  <si>
    <t>Лампа к фонарю ФОС 5,2 В</t>
  </si>
  <si>
    <t>0009104554</t>
  </si>
  <si>
    <t>Лебедка ручная малогабаритная ЛР-650</t>
  </si>
  <si>
    <t>0009104555</t>
  </si>
  <si>
    <t>Лебёдка ручная малогабаритная ЛУР-3</t>
  </si>
  <si>
    <t>0009104556</t>
  </si>
  <si>
    <t>Лестница алюминиевая выдвижная 12,5м</t>
  </si>
  <si>
    <t>0009104312</t>
  </si>
  <si>
    <t>Лестница алюминиевая выдвижная 8м</t>
  </si>
  <si>
    <t>0009102168</t>
  </si>
  <si>
    <t>Лестница диэлектрическая приставная ЛСПД-2,5</t>
  </si>
  <si>
    <t>0009102169</t>
  </si>
  <si>
    <t>Лестница диэлектрическая приставная ЛСПД-5,0</t>
  </si>
  <si>
    <t>0009102323</t>
  </si>
  <si>
    <t>Лестница-стремянка диэлектрическая 2,5м</t>
  </si>
  <si>
    <t>0009102186</t>
  </si>
  <si>
    <t>Лестница-стремянка диэлектрическая 5 м</t>
  </si>
  <si>
    <t>0003704020</t>
  </si>
  <si>
    <t>Металлорукав ф 20мм</t>
  </si>
  <si>
    <t>0009008145</t>
  </si>
  <si>
    <t>Метла с черенком</t>
  </si>
  <si>
    <t>0003610921</t>
  </si>
  <si>
    <t>Механизм монтажно-тяговый МТМ-1,6т</t>
  </si>
  <si>
    <t>0003815165</t>
  </si>
  <si>
    <t>Навесы Л-100</t>
  </si>
  <si>
    <t>0003704871</t>
  </si>
  <si>
    <t>Навесы Л-200</t>
  </si>
  <si>
    <t>0009103599</t>
  </si>
  <si>
    <t>Монтаж подготовленных панелей защиты с Сириусами.</t>
  </si>
  <si>
    <t>Прокладка кабельных перемычек между панелями защиты, управления, УРОВ и ДЗШ.</t>
  </si>
  <si>
    <t xml:space="preserve">Монтаж аппаратуры на панелях управления и учета Р1 </t>
  </si>
  <si>
    <t xml:space="preserve">Монтаж схемы вторичных цепей на панелях управления и учета Р1 </t>
  </si>
  <si>
    <t>Подключение кабелей к панелям защиты и управления (УРОВ и ДЗШ подключаем в самом конце)</t>
  </si>
  <si>
    <t>Подключение кабелей в пределах ячейки Р1 ОРУ-110 кВ, подключение фильтра присоединения.</t>
  </si>
  <si>
    <t>Пусконаладочные работы вторичных цепей в полной схеме.</t>
  </si>
  <si>
    <t>Совместная проверка с Ростовэнерго работы дифференциально-фазной защиты ВЛ-110 кВ Р4/2</t>
  </si>
  <si>
    <t>Ревизия и монтаж ШОВ-1 и ШЗВ-120.</t>
  </si>
  <si>
    <t>01.04.2015.</t>
  </si>
  <si>
    <t>15.04.2015.</t>
  </si>
  <si>
    <t xml:space="preserve">Монтаж </t>
  </si>
  <si>
    <t>Подготовка кабельных трасс. Прокладка кабелей от ШЗВ и ШОВ до панелей 33Р, 34Р и ШОВ Р4/1.</t>
  </si>
  <si>
    <t>Изготовление площадок обслуживания (заготовок) приводов выключателя и разъединителей 110 кВ.</t>
  </si>
  <si>
    <t>Сборка разъединителей РГП-110, подготовка к монтажу</t>
  </si>
  <si>
    <t>Сборка консоли для совместной установки выключателя ВГП-110 и трансформаторов ТГФМ-110, подготовка закладных деталей для монтажа консоли на раме.</t>
  </si>
  <si>
    <t>Демонтаж масляного выключателя 110 кВ Р1</t>
  </si>
  <si>
    <t>Монтаж выключателя ВГП-110 с площадкой обслуживания и трансформаторов ТГФМ</t>
  </si>
  <si>
    <t>Монтаж коробов от ШЗВ до ВГП и ТГФМ, прокладка кабелей в пределах ячейки Р1 ОРУ-110 кВ, монтаж трассы к фильтру присоединения.</t>
  </si>
  <si>
    <t>Демонтаж разъединителей РДЗ-110, монтаж разъединителей РГП-110, включая площадки обслуживания, ошиновку ячейки и вторичные цепи.</t>
  </si>
  <si>
    <t>Разработка программы включения Р1</t>
  </si>
  <si>
    <t>Ввод в эксплуатацию</t>
  </si>
  <si>
    <t>Согласование с Ростовэнерго программы включения Р1</t>
  </si>
  <si>
    <t>Оформление распоряжения о включении Р1</t>
  </si>
  <si>
    <t>Включение Р1 в работу по утвержденной программе.</t>
  </si>
  <si>
    <t>Приемка учета присоединения ВЛ-110 кВ Р1</t>
  </si>
  <si>
    <t>Комплексное опробование оборудования присоединения ВЛ-110 кВ Р1</t>
  </si>
  <si>
    <t>Оформление технической документации и распоряжения о вводе в эксплуатацию</t>
  </si>
  <si>
    <t>Всего:</t>
  </si>
  <si>
    <t>В.А. Чалин</t>
  </si>
  <si>
    <t>Начальник цеха электроснабжения</t>
  </si>
  <si>
    <t>В.С. Сиволодский</t>
  </si>
  <si>
    <t>А.А. Петров</t>
  </si>
  <si>
    <t>"____"___________"2015г.</t>
  </si>
  <si>
    <t>Печь электрическая 2-х конфорочная</t>
  </si>
  <si>
    <t>Срок исполнения договора
(месяц, год)</t>
  </si>
  <si>
    <t>да/нет</t>
  </si>
  <si>
    <t>Насос кондентсатный 1 КС-50-55</t>
  </si>
  <si>
    <t>Товар должен быть новый, в требуемой комплектации.</t>
  </si>
  <si>
    <t>шт.</t>
  </si>
  <si>
    <t>Ростов-на-Дону</t>
  </si>
  <si>
    <t>02</t>
  </si>
  <si>
    <t>2016 год</t>
  </si>
  <si>
    <t>тендерные торги</t>
  </si>
  <si>
    <t>да</t>
  </si>
  <si>
    <t>Поставка трансформаторов тока                  ТЛШ-10 05/5Р/5Р 4000/5</t>
  </si>
  <si>
    <t>01</t>
  </si>
  <si>
    <t>Поставка трансформаторов тока ТГФМ-110-II -600-1200/5/0,5S/5P/5P/5P/5PУ1</t>
  </si>
  <si>
    <t>04</t>
  </si>
  <si>
    <t>Организация должна  иметь допуски на выполнения работ, иметь обученный персонал и аттестованное оборудование</t>
  </si>
  <si>
    <t>Время и дата прекращения передачи электрической энергии (часы, минуты, ГГГГ.ММ.ДД)</t>
  </si>
  <si>
    <t>Договорные объемы услуг по передаче электрической энергии (мощности) на 2015 год</t>
  </si>
  <si>
    <t>МКП "Ростгорсвет"</t>
  </si>
  <si>
    <t>Договорные объемы услуг по передаче электрической энергии (мощности) на 2016 год</t>
  </si>
  <si>
    <t>Планируемые объемы услуг по передаче электрической энергии (мощности) на 2017 год</t>
  </si>
  <si>
    <t>(наименование сетевой организации - Исполнителя)</t>
  </si>
  <si>
    <t>Филиал ПАО "МРСК Юга"-"Ростовэнерго"</t>
  </si>
  <si>
    <t>Передача потребителям ПАО "ТНС энерго Ростов-на-Дону"</t>
  </si>
  <si>
    <t>Передача потребителям ООО "ЕЭС Гарант"</t>
  </si>
  <si>
    <t>Филиал ПАО "МРСК Юга"-"Ростовэнерго" (отдача)</t>
  </si>
  <si>
    <t>п.п. 11 Б-2</t>
  </si>
  <si>
    <t>2009 г.</t>
  </si>
  <si>
    <t>Доход от деятельности по передаче эл.энергии (мощности) через сети ООО "РСМЭ" абонента МРСК-Ростовэнерго в 2009 г. по ВН</t>
  </si>
  <si>
    <t>Месяц</t>
  </si>
  <si>
    <t>Объем эл.эн.2010г., кВтч</t>
  </si>
  <si>
    <t>Объем мощности 2010 г., МВт</t>
  </si>
  <si>
    <t>Ставка на содержание сетей, руб/МВт*мес</t>
  </si>
  <si>
    <t>Ставка на оплату технологических потерь, руб/МВт*ч</t>
  </si>
  <si>
    <t>Доход за потери, руб</t>
  </si>
  <si>
    <t>Доход за содержание сетей, руб</t>
  </si>
  <si>
    <t>Всего доход, руб</t>
  </si>
  <si>
    <t>Итого</t>
  </si>
  <si>
    <t>2010 г.</t>
  </si>
  <si>
    <t>Доход от деятельности по передаче эл.энергии (мощности) через сети ООО "РСМЭ" абонента МРСК-Ростовэнерго в 2010 г. по ВН</t>
  </si>
  <si>
    <t>2011 г.</t>
  </si>
  <si>
    <t>Плановый доход от деятельности по передаче эл.энергии (мощности) через сети ООО "РСМЭ" абонента МРСК-Ростовэнерго в 2011 г. по ВН</t>
  </si>
  <si>
    <t>Объем эл.эн.2011г., кВтч</t>
  </si>
  <si>
    <t>Объем мощности 2011 г., МВт</t>
  </si>
  <si>
    <t>Фактический доход от деятельности по передаче эл.энергии (мощности) через сети ООО "РСМЭ" абонента МРСК-Ростовэнерго в 2011 г. по ВН</t>
  </si>
  <si>
    <t>2012 г.</t>
  </si>
  <si>
    <t>Плановый доход от деятельности по передаче эл.энергии (мощности) через сети ООО "РСМЭ" абонента МРСК-Ростовэнерго в 2012 г. по ВН</t>
  </si>
  <si>
    <t>Объем эл.эн.2012г., кВтч</t>
  </si>
  <si>
    <t>Объем мощности 2012 г., МВт</t>
  </si>
  <si>
    <t>Фактический доход от деятельности по передаче эл.энергии (мощности) через сети ООО "РСМЭ" абонента МРСК-Ростовэнерго в 2012 г. по ВН</t>
  </si>
  <si>
    <t>2013 г.</t>
  </si>
  <si>
    <t>Руководствуясь п. 81 "Основ ценообразования в области регулируемых цен (тарифов) в электроэнергетике", утверждённых ПП РФ от 29.12.2011г. №1178, ОАО "МРСК Юга", в лице филиала ОАО "МРСК Юга"-"Ростовэнерго", произвело выбор одноставочного тарифа для осуществления расчётов за оказание услуг по передачи электрической энергии (мощности) в 2013 г.</t>
  </si>
  <si>
    <t>Плановый доход от деятельности по передаче эл.энергии (мощности) через сети ООО "РСМЭ" абонента МРСК-Ростовэнерго в 2013 г. по ВН</t>
  </si>
  <si>
    <t>Объем электрической энергии, МВт*ч</t>
  </si>
  <si>
    <t>Одноставочный тариф (без НДС), руб/МВт*ч</t>
  </si>
  <si>
    <t>Доход, руб (без НДС)</t>
  </si>
  <si>
    <t>Фактический доход от деятельности по передаче эл.энергии (мощности) через сети ООО "РСМЭ" абонента МРСК-Ростовэнерго в 2013 г. по ВН</t>
  </si>
  <si>
    <t>2014 г.</t>
  </si>
  <si>
    <t>Плановый доход от деятельности по передаче эл.энергии (мощности) через сети ООО "РСМЭ" абонента МРСК-Ростовэнерго в 2014 г. по ВН</t>
  </si>
  <si>
    <t>Фактический доход от деятельности по передаче эл.энергии (мощности) через сети ООО "РСМЭ" абонента МРСК-Ростовэнерго в 2014 г. по ВН</t>
  </si>
  <si>
    <t>2015 г.</t>
  </si>
  <si>
    <t>Выключатель ВГП-110</t>
  </si>
  <si>
    <t>http://zakupki.gov.ru/223/purchase/public/purchase/info/common-info.html?noticeId=2206959&amp;epz=true&amp;style44=false</t>
  </si>
  <si>
    <t>Трансформаторы тока ТГФМ-110</t>
  </si>
  <si>
    <t>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</si>
  <si>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</si>
  <si>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вкладка 9 В</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</si>
  <si>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</si>
  <si>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вкладка 9 В-1</t>
  </si>
  <si>
    <t>предложение о размере цен (тарифов), долгосрочных параметров регулирования (при применении метода доходности инвестированного капитала или метода долгосрочной необходимой валовой выручки),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</si>
  <si>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 xml:space="preserve">подлежит раскрытию на официальных сайтах регулируемых организаций или на ином официальном сайте в сети Интернет, определяемом Правительством Российской Федерации, и (или) в периодическом печатном издании, в котором публикуются нормативные правовые акты органа исполнительной власти в области регулирования тарифов, - за 10 дней до представления в регулирующий орган предложения об установлении цен (тарифов) и (или) их предельных уровней, содержащего такую информацию.
</t>
  </si>
  <si>
    <t>вкладка п. 9 Г</t>
  </si>
  <si>
    <t>Переход на главную страницу</t>
  </si>
  <si>
    <t>п.п. 11 а</t>
  </si>
  <si>
    <r>
      <t xml:space="preserve">1) Тариф на передачу электроэнергии (мощности) по сетям ООО «Ростсельмашэнерго» в </t>
    </r>
    <r>
      <rPr>
        <b/>
        <sz val="11"/>
        <color indexed="8"/>
        <rFont val="Calibri"/>
        <family val="2"/>
        <charset val="204"/>
      </rPr>
      <t>2008г</t>
    </r>
    <r>
      <rPr>
        <sz val="11"/>
        <color theme="1"/>
        <rFont val="Calibri"/>
        <family val="2"/>
        <charset val="204"/>
        <scheme val="minor"/>
      </rPr>
      <t xml:space="preserve">
- Ставка на оплату технологических потерь </t>
    </r>
    <r>
      <rPr>
        <b/>
        <sz val="11"/>
        <color indexed="8"/>
        <rFont val="Calibri"/>
        <family val="2"/>
        <charset val="204"/>
      </rPr>
      <t>42,09</t>
    </r>
    <r>
      <rPr>
        <sz val="11"/>
        <color theme="1"/>
        <rFont val="Calibri"/>
        <family val="2"/>
        <charset val="204"/>
        <scheme val="minor"/>
      </rPr>
      <t xml:space="preserve"> руб./МВт*ч 
- Ставка на содержание сетей </t>
    </r>
    <r>
      <rPr>
        <b/>
        <sz val="11"/>
        <color indexed="8"/>
        <rFont val="Calibri"/>
        <family val="2"/>
        <charset val="204"/>
      </rPr>
      <t>32 484,77</t>
    </r>
    <r>
      <rPr>
        <sz val="11"/>
        <color theme="1"/>
        <rFont val="Calibri"/>
        <family val="2"/>
        <charset val="204"/>
        <scheme val="minor"/>
      </rPr>
      <t xml:space="preserve"> руб./МВт*мес 
установленного Постановлением РСТ Ростовской области от 29.12.2010 г. № 16/12; источник официального опубликования решения: http://rst.donland.ru 
Размер платы за технологическое присоединение осуществляется по индивидуальному тарифу устанавливаемому РСТ РО.</t>
    </r>
  </si>
  <si>
    <t>Тпр  - фактическая суммарная продолжительность всех прекращений передачи электрической энергии в отношении потребителей услуг за расчетный период регулирования, час</t>
  </si>
  <si>
    <t>Nтп  - максимальное за расчетный период регулирования число точек присоединения потребителей услуг к электрической сети электросетевой организации, в том числе принятых в опытно-промышленную эксплуатацию, шт.</t>
  </si>
  <si>
    <t xml:space="preserve">Форма 1.1 - Журнал учета текущей информации о прекращении
           передачи электрической энергии для потребителей услуг
                  электросетевой организации ООО "Ростсельмашэнерго" за 2015 год
</t>
  </si>
  <si>
    <t>Обосновывающие данные для расчета &lt;1&gt;</t>
  </si>
  <si>
    <t>Продолжительность прекращения, час.</t>
  </si>
  <si>
    <t>Количество точек присоединения потребителей услуг к электрической сети электросетевой организации, шт.</t>
  </si>
  <si>
    <t>акт №1 от 09.02.2015 г.</t>
  </si>
  <si>
    <t>Генеральный директор                   Р.А. Мижерицкий</t>
  </si>
  <si>
    <t xml:space="preserve">___________________________________________________________________________
            Должность                   Ф.И.О.                Подпись
</t>
  </si>
  <si>
    <t>&lt;1&gt; В том числе на основе базы актов расследования технологических нарушений за соответствующий месяц.</t>
  </si>
  <si>
    <t xml:space="preserve">          Форма 1.2 - Расчет показателя средней продолжительности</t>
  </si>
  <si>
    <t xml:space="preserve">                прекращений передачи электрической энергии</t>
  </si>
  <si>
    <t xml:space="preserve">                  Наименование электросетевой организации</t>
  </si>
  <si>
    <t>Максимальное за расчетный период 2015 г. число точек присоединения</t>
  </si>
  <si>
    <t>Суммарная продолжительность прекращений передачи электрической энергии, час. (Тпр)</t>
  </si>
  <si>
    <t>Сумма по гр. 2 формы 1.1</t>
  </si>
  <si>
    <t>Показатель средней продолжительности прекращений передачи электрической энергии (Пп)</t>
  </si>
  <si>
    <t xml:space="preserve">            Должность                   Ф.И.О.                Подпись</t>
  </si>
  <si>
    <t>Максимальное значение по гр.3 формы 1.1</t>
  </si>
  <si>
    <t>Смета расходов ООО "Ростсельмашэнерго" на 2015-2019 гг. в тыс. руб.</t>
  </si>
  <si>
    <t>п.п.</t>
  </si>
  <si>
    <t>Наименование показателя</t>
  </si>
  <si>
    <t>Утверждено РСТ на 2015 г. 
(на сторону)</t>
  </si>
  <si>
    <t>Фактически использовано 2015</t>
  </si>
  <si>
    <t>Утверждено РСТ на 2016 г. 
(на сторону)</t>
  </si>
  <si>
    <t>Фактически использовано 2016</t>
  </si>
  <si>
    <t>Утверждено РСТ на 2017 г. 
(на сторону)</t>
  </si>
  <si>
    <t>Утверждено РСТ на 2018 г. 
(итоговые)</t>
  </si>
  <si>
    <t>Утверждено РСТ на 2019 г. 
(итоговые)</t>
  </si>
  <si>
    <t>1.</t>
  </si>
  <si>
    <t>Подконтрольные расходы всего, в том числе:</t>
  </si>
  <si>
    <t xml:space="preserve">1.1.  </t>
  </si>
  <si>
    <t>Расходы на оплату труда</t>
  </si>
  <si>
    <t>Дроссель 1И400ДРИ 81-001. УХЛ1</t>
  </si>
  <si>
    <t>59</t>
  </si>
  <si>
    <t>0009104465</t>
  </si>
  <si>
    <t>Дроссель 1И 1000 ДРИ 81-001. УХЛ1</t>
  </si>
  <si>
    <t>60</t>
  </si>
  <si>
    <t>0009103988</t>
  </si>
  <si>
    <t>Дроссель 1И 1000 ДНаТ 46-002 УХЛ1</t>
  </si>
  <si>
    <t>61</t>
  </si>
  <si>
    <t>Дроссель 1И70ДНАТ независимый с УИЗ</t>
  </si>
  <si>
    <t>62</t>
  </si>
  <si>
    <t>Отвод стальной 90гр. 57х3,5 Ст 20 ГОСT 17375-2002</t>
  </si>
  <si>
    <t>63</t>
  </si>
  <si>
    <t>Кран шаровый 11б27п1 Ду 15 Ру 16</t>
  </si>
  <si>
    <t>64</t>
  </si>
  <si>
    <t>Отвод стальной 45гр. 57х3,5</t>
  </si>
  <si>
    <t>65</t>
  </si>
  <si>
    <t>0009103733</t>
  </si>
  <si>
    <t>Зажим ЗМП (КП-1А)</t>
  </si>
  <si>
    <t>66</t>
  </si>
  <si>
    <t>0003704585</t>
  </si>
  <si>
    <r>
      <t>2015 г</t>
    </r>
    <r>
      <rPr>
        <sz val="10"/>
        <rFont val="Times New Roman"/>
        <family val="1"/>
        <charset val="204"/>
      </rPr>
      <t>.
Реконструкция ОРУ-110 кВ  ГПП-1 с заменой масляного выключателя У-110 присоединения Р1-Р37-РСМ 110 кВ на элегазовый ВГП-110, установкой трансформаторов тока ТГФМ-110, модернизацией цепей защиты на базе микропроцессорных устройств.
Проектирование реконструкции ПС 110/6 кВ  ГПП-3 с переводом ее в режим распределительного устройства 6 кВ.
Проектирование реконструкции ПС 110/6 кВ  ГПП-1 с заменой трансформаторов Т2 и Т4 110/6 кВ.</t>
    </r>
  </si>
  <si>
    <t>Маркер перманентый цветной</t>
  </si>
  <si>
    <t>0003704680</t>
  </si>
  <si>
    <t>Набор кистей акварельных</t>
  </si>
  <si>
    <t>0002901115</t>
  </si>
  <si>
    <t>Набор маркеров (4 шт)</t>
  </si>
  <si>
    <t>0002901072</t>
  </si>
  <si>
    <t>Нож канцелярский</t>
  </si>
  <si>
    <t>Трубопровод воды ПК корпуса БМЦ со стороны эксперимент. цеха  (к70-к77)</t>
  </si>
  <si>
    <t>Установка компрессорная К6</t>
  </si>
  <si>
    <t>Устройство защиты "Сириус-О33-220В-И1" ТУ 4222-008</t>
  </si>
  <si>
    <t>Электрооборудование ячейки ВЛ-110 кВ Р-4 РСМ I цепь ГПП-1</t>
  </si>
  <si>
    <t>за 2014 год.</t>
  </si>
  <si>
    <t>Автомобиль ГАЗ-3302 (Р311РМ/161)</t>
  </si>
  <si>
    <t>ГАЗ-2752 (Х 839 ОС 61)</t>
  </si>
  <si>
    <t>Водогрейная шести котловая</t>
  </si>
  <si>
    <t>Компьютер ACORPGVM/128/20GB</t>
  </si>
  <si>
    <t>Газопроводы и газовое оборудование ГРП-4</t>
  </si>
  <si>
    <t>Компьютер CEL 2267/845GV4MR*256/40/CD</t>
  </si>
  <si>
    <t>Запасной резервуар для фильтрации воды</t>
  </si>
  <si>
    <t>Компьютер CEL 2267/8S661/256/40/CD-ROM</t>
  </si>
  <si>
    <t>Кабельные сети L-1274м</t>
  </si>
  <si>
    <t>Компьютер Celeron 1.8/512/80 GA</t>
  </si>
  <si>
    <t>Комплектная трансф.подстанция ТП-201 с присоед.кабельными сетями6КВ КПТ2х1000,с высоков.яч.</t>
  </si>
  <si>
    <t>Компьютер Celeron 1700/C 00098242</t>
  </si>
  <si>
    <t>Комплектная трансф.подстанция ТП-202 с присоед.кабельными сетями6КВ КПТ2х1000,с высоков.яч.</t>
  </si>
  <si>
    <t>Компьютер Celeron 1700/C 00098243</t>
  </si>
  <si>
    <t>Комплектная трансф.подстанция ТП-203 с присоед.кабельными сетями6КВ КПТ2х1000,с высоков.яч.</t>
  </si>
  <si>
    <t>Компьютер Celeron 2,6/512/80/GA-8I945</t>
  </si>
  <si>
    <t>Комплектная трансф.подстанция ТП-204 с присоед.кабельными сетями6КВ КПТ1х630,с высоков.яч.</t>
  </si>
  <si>
    <t>Компьютер Celeron 2,6/512/80/GA-8I945-TX</t>
  </si>
  <si>
    <t>Котел Медведь 50KLZ с бойлером 90л(49Квт)</t>
  </si>
  <si>
    <t>Компьютер Celeron 2.6/512/80/GA-945 GCM-S3 № 1</t>
  </si>
  <si>
    <t>Распределительная подстанция 6КВ РП-21</t>
  </si>
  <si>
    <t>Компьютер CELERON 2.6/512/80/GA-945GCM-S3</t>
  </si>
  <si>
    <t>Электрооборудование САОН ПС 110/6 кВ ГПП-1</t>
  </si>
  <si>
    <t>Компьютер Celeron 2/6/512/80/GA-945GCM-S3 № 2</t>
  </si>
  <si>
    <t>Электрооборудование ячейки СВ-110 кВ ГПП-1</t>
  </si>
  <si>
    <t>ИП Казарян В.П.</t>
  </si>
  <si>
    <t>Автостоянка</t>
  </si>
  <si>
    <t>Предложения о размере цен (тарифов)</t>
  </si>
  <si>
    <t>Год</t>
  </si>
  <si>
    <t>Двухставочный тариф (без НДС)</t>
  </si>
  <si>
    <t>Одноставочный тариф (без НДС)</t>
  </si>
  <si>
    <t>ставка за содержание электрических сетей</t>
  </si>
  <si>
    <t>ставка на оплату технологического расхода (потерь)</t>
  </si>
  <si>
    <t>руб./МВт·мес.</t>
  </si>
  <si>
    <t>руб./МВт·ч</t>
  </si>
  <si>
    <t>Наименование сетевой организации</t>
  </si>
  <si>
    <t xml:space="preserve"> ООО "Ростсельмашэнерго"-филиал ОАО "МРСК Юга" - "Ростовэнерго"</t>
  </si>
  <si>
    <r>
      <t xml:space="preserve">Долгосрочные параметры регулирования
</t>
    </r>
    <r>
      <rPr>
        <sz val="10"/>
        <rFont val="Tahoma"/>
        <family val="2"/>
        <charset val="204"/>
      </rPr>
      <t>(при применении метода доходности инвестированного капитала или метода долгосрочной необходимой валовой выручки)</t>
    </r>
  </si>
  <si>
    <t>Базовый уровень подконтрольных расходов</t>
  </si>
  <si>
    <t>Величина технологического расхода (потерь) электрической энергии</t>
  </si>
  <si>
    <t>Уровень надежности реализуемых товаров (услуг)</t>
  </si>
  <si>
    <t>Уровень качества реализуемых услуг</t>
  </si>
  <si>
    <t>Показатель уровня качества осуществляемого тех.присоединения к сети</t>
  </si>
  <si>
    <t>Уровень качества реализуемых товаров (услуг)</t>
  </si>
  <si>
    <t>млн.руб.</t>
  </si>
  <si>
    <t>1,211</t>
  </si>
  <si>
    <t>4,778</t>
  </si>
  <si>
    <t>1,123</t>
  </si>
  <si>
    <t>1,229</t>
  </si>
  <si>
    <t>1,140</t>
  </si>
  <si>
    <t xml:space="preserve">Год </t>
  </si>
  <si>
    <t>Среднегодовой показатель</t>
  </si>
  <si>
    <t>Двухставочный тариф</t>
  </si>
  <si>
    <t>Одноставочный тариф</t>
  </si>
  <si>
    <t>(без НДС)</t>
  </si>
  <si>
    <t xml:space="preserve">ставка за содержание электрических сетей </t>
  </si>
  <si>
    <t>1,192</t>
  </si>
  <si>
    <t>1,106</t>
  </si>
  <si>
    <t>1,174</t>
  </si>
  <si>
    <t>1,089</t>
  </si>
  <si>
    <t>Расчет показателя уровня качества осуществляемого технологического присоединения к сети (Птпр):</t>
  </si>
  <si>
    <t xml:space="preserve">Птпр=0,4*Пзаяв_тпр+0,4Пнс_тпр+0,2*Пнпа_тпр = </t>
  </si>
  <si>
    <t>Пзаяв_тпр</t>
  </si>
  <si>
    <t xml:space="preserve">показатель качества рассмотрения заявок на технологическое присоединение к сети, определяемый исходя из рассмотрения </t>
  </si>
  <si>
    <t xml:space="preserve">заявок на технологическое присоединение к сети, полученных от потребителей и производителей электрической энергии, </t>
  </si>
  <si>
    <t>а также территориальных сетевых организаций (далее - заявители);</t>
  </si>
  <si>
    <t>Пнс_тпр</t>
  </si>
  <si>
    <t>показатель качества исполнения договоров об осуществлении технологического присоединения заявителей к сети</t>
  </si>
  <si>
    <t>Пнпа_тпр</t>
  </si>
  <si>
    <t xml:space="preserve">показатель соблюдения антимонопольного законодательства при технологическом присоединении заявителей к электрическим </t>
  </si>
  <si>
    <t>сетям сетевой организации</t>
  </si>
  <si>
    <t>Показатель качества рассмотрения заявок на технологическое присоединение к сети (Пзаяв_тпр) определяется по формуле:</t>
  </si>
  <si>
    <t>Пзаяв_тпр=Nзаяв_тпр / max(1, Nзаяв_тпр-Nнс заяв_тпр)  =</t>
  </si>
  <si>
    <t>№61-1-16-00279489</t>
  </si>
  <si>
    <t>ООО "ДомСтрой"</t>
  </si>
  <si>
    <t>Р-212/1</t>
  </si>
  <si>
    <t>РП-12</t>
  </si>
  <si>
    <t>Костюм сварщика</t>
  </si>
  <si>
    <t>0007406195</t>
  </si>
  <si>
    <t>Краги спилковые пятипалые</t>
  </si>
  <si>
    <t>0004201232</t>
  </si>
  <si>
    <t>Крем силиконовый</t>
  </si>
  <si>
    <t>0003704539</t>
  </si>
  <si>
    <t>Маска сварщика  "Калгари"</t>
  </si>
  <si>
    <t>0007410264</t>
  </si>
  <si>
    <t>Маска сварщика пластмассовый ПНД</t>
  </si>
  <si>
    <t>0009104057</t>
  </si>
  <si>
    <t>Мыло хозяйственное</t>
  </si>
  <si>
    <t>0003704956</t>
  </si>
  <si>
    <t>Очки защитные</t>
  </si>
  <si>
    <t>0009103629</t>
  </si>
  <si>
    <t>Патрон регенеративный к противогазу РП-4-01</t>
  </si>
  <si>
    <t>0007406194</t>
  </si>
  <si>
    <t>Перчатки  "NITRAS"</t>
  </si>
  <si>
    <t>0007406199</t>
  </si>
  <si>
    <t>Перчатки "Protector" нитриловые</t>
  </si>
  <si>
    <t>0007406190</t>
  </si>
  <si>
    <t>Перчатки диэлектрические латексные</t>
  </si>
  <si>
    <t>0003704504</t>
  </si>
  <si>
    <t>Перчатки кислотозащитные</t>
  </si>
  <si>
    <t>0007406193</t>
  </si>
  <si>
    <t>Перчатки комбинированные спилк "Сафари"</t>
  </si>
  <si>
    <t>0007410262</t>
  </si>
  <si>
    <t>Перчатки комбинированные х/б+спилк "Ангара"</t>
  </si>
  <si>
    <t>0007406161</t>
  </si>
  <si>
    <t>Перчатки трикотажные х/б ПВХ</t>
  </si>
  <si>
    <t>0007406192</t>
  </si>
  <si>
    <t>Перчатки хозяйственные (резиновые)</t>
  </si>
  <si>
    <t>0007403519</t>
  </si>
  <si>
    <t>Плащ влагозащитный</t>
  </si>
  <si>
    <t>0007410260</t>
  </si>
  <si>
    <t>Подшлемник трикотажный летний</t>
  </si>
  <si>
    <t>0007410238</t>
  </si>
  <si>
    <t>Подшлемник ватный</t>
  </si>
  <si>
    <t>0003704190</t>
  </si>
  <si>
    <t>Пояс монтерский ПМ-НМ с цепным стропом</t>
  </si>
  <si>
    <t>0007410244</t>
  </si>
  <si>
    <t>Противогаз изолирующий ИП-4м</t>
  </si>
  <si>
    <t>0003704507</t>
  </si>
  <si>
    <t>Респиратор АЭРУМ9250АV со снижением действия кислы</t>
  </si>
  <si>
    <t>0007410164</t>
  </si>
  <si>
    <t>Респиратор Лепесток</t>
  </si>
  <si>
    <t>0007410253</t>
  </si>
  <si>
    <t>Респиратор противоаэрозольный "Бриз-1101"</t>
  </si>
  <si>
    <t>0007410228</t>
  </si>
  <si>
    <t>Респиратор противопылевой "Кама"</t>
  </si>
  <si>
    <t>0007406200</t>
  </si>
  <si>
    <t>Рукавицы двунитка/брезент</t>
  </si>
  <si>
    <t>0007410227</t>
  </si>
  <si>
    <t>Фартук прорезиненный КЩС "Б"</t>
  </si>
  <si>
    <t>0009003845</t>
  </si>
  <si>
    <t>Щиток защит д/лица от частиц и агрес.жид ГОСТ19434</t>
  </si>
  <si>
    <t xml:space="preserve">Костюм летний "Номекс" </t>
  </si>
  <si>
    <t xml:space="preserve">Куртка-накидка термостойкая "Номекс" </t>
  </si>
  <si>
    <t>0009004054</t>
  </si>
  <si>
    <t>Костюм зимний "Номекс"</t>
  </si>
  <si>
    <t>0007403522</t>
  </si>
  <si>
    <t>Бельё термостойкое</t>
  </si>
  <si>
    <t>0007406196</t>
  </si>
  <si>
    <t>Перчатки термостойкие</t>
  </si>
  <si>
    <t>0007410251</t>
  </si>
  <si>
    <t>Подшлемник термостойкий зимний</t>
  </si>
  <si>
    <t>0007410248</t>
  </si>
  <si>
    <t>Подшлемник термостойкий летний</t>
  </si>
  <si>
    <t>0007407125</t>
  </si>
  <si>
    <t xml:space="preserve">осуществлении технологического присоединения заявителей к сети, сроки по которым нарушены в связи с неисполнением в </t>
  </si>
  <si>
    <t xml:space="preserve">срок обязательств по договору со стороны заявителей, тогда как со стороны сетевой организации мероприятия по </t>
  </si>
  <si>
    <t>техническим условиям исполнены в срок и направлено соответствующее уведомление заявителю.</t>
  </si>
  <si>
    <t>Пнс_тпр=1</t>
  </si>
  <si>
    <t xml:space="preserve">В случае отсутствия у сетевой организации договоров об осуществлении технологического присоединения заявителей </t>
  </si>
  <si>
    <t xml:space="preserve">к сети, исполненных в расчетном периоде, показатель качества исполнения договоров об осуществлении технологического </t>
  </si>
  <si>
    <t>присоединения заявителей к сети</t>
  </si>
  <si>
    <t xml:space="preserve">Показатель соблюдения антимонопольного законодательства при технологическом присоединении заявителей к электрическим сетям сетевой </t>
  </si>
  <si>
    <t>организации (Пнпа_тпр) определяется по формуле:</t>
  </si>
  <si>
    <t xml:space="preserve">Пнпа_тпр=Nочз_тпр / max (1, Nочз_тпр - N н_тпр) = </t>
  </si>
  <si>
    <t>Nочз_тпр</t>
  </si>
  <si>
    <t xml:space="preserve">общее число заявок на технологическое присоединение к сети, поданных заявителями в соответствии с требованиями </t>
  </si>
  <si>
    <t>нормативных правовых актов в соответствующем расчетном периоде регулирования, десятки шт.;</t>
  </si>
  <si>
    <t>N н_тпр</t>
  </si>
  <si>
    <t xml:space="preserve">число вступивших в законную силу решений антимонопольного органа и (или) суда об установлении нарушений сетевой </t>
  </si>
  <si>
    <t xml:space="preserve">организацией требований антимонопольного законодательства Российской Федерации в части оказания услуг по </t>
  </si>
  <si>
    <t>технологическому присоединению в соответствующем расчетном периоде, шт.</t>
  </si>
  <si>
    <t>Пнпа_тпр=1</t>
  </si>
  <si>
    <t>В случае отсутствия в расчетном периоде регулирования у сетевой организации заявок на технологическое присоединение</t>
  </si>
  <si>
    <t xml:space="preserve"> к сети, поданных заявителями в установленном порядке в соответствующем расчетном периоде, показатель организации</t>
  </si>
  <si>
    <t xml:space="preserve">соблюдения антимонопольного законодательства при технологическом присоединении заявителей к электрическим сетям сетевой </t>
  </si>
  <si>
    <t>Расчет значения показателя уровня качества обслуживания потребителей услуг (Птсо) определяется в баллах по формуле:</t>
  </si>
  <si>
    <t>Птсо=0,1*Ин+0,7*Ис+0,2*Рс =</t>
  </si>
  <si>
    <t>Ин,Ис,Рс</t>
  </si>
  <si>
    <t>значения индикаторов качества обслуживания потребителей (соответственно информативности, исполнительности, результативности обратной связи)</t>
  </si>
  <si>
    <t>форма 2.1-2.3</t>
  </si>
  <si>
    <t>Значения показателей надежности и качества услуг</t>
  </si>
  <si>
    <t>В течение 2012 г. аварийных отключений электрической энергии, вызванных авариями или внеплановыми отключениями объектов электросетевого хозяйства не происходило.</t>
  </si>
  <si>
    <t>28.06.2013 г. с 11 ч. 47 м. до 14 ч. 27 м. частичное прекращение передачи электрической энергии по причине аварийного отключения ВЛ-110 кВ Р1-Р37-РСМ, Р4-РСМ 1 и 2 цепь. Недоотпуск э/э - 127,71 т. кВтч.</t>
  </si>
  <si>
    <t>В течение 2014 г. аварийных отключений электрической энергии, вызванных авариями или внеплановыми отключениями объектов электросетевого хозяйства не происходило.</t>
  </si>
  <si>
    <t>п.п. 11 Б-12</t>
  </si>
  <si>
    <t>Наличие/отсутствие ограничений пропускной способности силовых трансформаторов для технологического присоедиения заявителей по центрам питания:</t>
  </si>
  <si>
    <t>ГПП-1</t>
  </si>
  <si>
    <t>имеется</t>
  </si>
  <si>
    <t>ГПП-2</t>
  </si>
  <si>
    <t>отсутствует</t>
  </si>
  <si>
    <t>ГПП-4</t>
  </si>
  <si>
    <t>ПС "Промзона-2" г. Белая Калитва</t>
  </si>
  <si>
    <t>Центры питания напряжением 35 кВ и ниже отсутствуют.</t>
  </si>
  <si>
    <t>п.п. 11 Б-14</t>
  </si>
  <si>
    <t>В течение 2010 г. объекты электросетевого хозяйства, участвующие в передаче электроэнергии (мощности) из работы не выводились.</t>
  </si>
  <si>
    <t>Сводная информация о выводе в ремонт и вводе в эксплуатацию объектов электросетевого хозяйства, участвующих в передаче электроэнергии (мощности) в 2011 г. представлена в таблице.</t>
  </si>
  <si>
    <t>Информация о выводе в ремонт и вводе в эксплуатацию объектов электросетевого хозяйства, участвующих в передаче электроэнергии (мощности) в 2011 г.</t>
  </si>
  <si>
    <t>Наименование объекта</t>
  </si>
  <si>
    <t>Дата вывода в ремонт</t>
  </si>
  <si>
    <t>Дата ввода в эксплуатацию</t>
  </si>
  <si>
    <t>Трансформатор № 2 ГПП-4</t>
  </si>
  <si>
    <t>31.05.2011 г.</t>
  </si>
  <si>
    <t>02.06.2011 г.</t>
  </si>
  <si>
    <t>Трансформатор № 1 и I секция ОРУ-110 кВ ГПП-4</t>
  </si>
  <si>
    <t>30.06.2011 г.</t>
  </si>
  <si>
    <t>04.07.2011 г.</t>
  </si>
  <si>
    <t>15.09.2011 г.</t>
  </si>
  <si>
    <t>II секция ОРУ-110 кВ ГПП-1</t>
  </si>
  <si>
    <t>14.08.2011 г.</t>
  </si>
  <si>
    <t>18.08.2011 г.</t>
  </si>
  <si>
    <t>I секция ОРУ-110 кВ ГПП-1</t>
  </si>
  <si>
    <t>21.08.2011 г.</t>
  </si>
  <si>
    <t>24.08.2011 г.</t>
  </si>
  <si>
    <t>Ввод Р-4/2 и II секция ОРУ-110 кВ ГПП-1</t>
  </si>
  <si>
    <t>18.09.2011 г.</t>
  </si>
  <si>
    <t>Примечание: ремонт оборудования производился без отключения потребителей.</t>
  </si>
  <si>
    <t>Информация о выводе в ремонт и вводе в эксплуатацию объектов электросетевого хозяйства, участвующих в передаче электроэнергии (мощности) в 2012 г.</t>
  </si>
  <si>
    <t>Трансформатор № 2 и II секция ОРУ-110 кВ ГПП-4</t>
  </si>
  <si>
    <t>08.07.2012 г.</t>
  </si>
  <si>
    <t>13.07.2012 г.</t>
  </si>
  <si>
    <t>15.07.2012 г.</t>
  </si>
  <si>
    <t>17.07.2012 г.</t>
  </si>
  <si>
    <t>Разрядник вентильный РВС-33</t>
  </si>
  <si>
    <t>168</t>
  </si>
  <si>
    <t>0003604070</t>
  </si>
  <si>
    <t>Разрядник вентильный РВС-35</t>
  </si>
  <si>
    <t>169</t>
  </si>
  <si>
    <t>0003610893</t>
  </si>
  <si>
    <t>Разъем СШР55П30ЭГ (кабельное гнездо)</t>
  </si>
  <si>
    <t>170</t>
  </si>
  <si>
    <t>0003610892</t>
  </si>
  <si>
    <t>Разъем СШР55П30ЭШ1Н (блочные штыри)</t>
  </si>
  <si>
    <t>171</t>
  </si>
  <si>
    <t>0003610916</t>
  </si>
  <si>
    <t>Разъем ШР 60 П45 ЭШ2</t>
  </si>
  <si>
    <t>172</t>
  </si>
  <si>
    <t>0003704925</t>
  </si>
  <si>
    <t>Разъем ШР60П45ЭШ2 (кабельное гнездо)</t>
  </si>
  <si>
    <t>173</t>
  </si>
  <si>
    <t>0003702831</t>
  </si>
  <si>
    <t>Резистор МЛT-2 910 Ом 5%</t>
  </si>
  <si>
    <t>174</t>
  </si>
  <si>
    <t>0003704603</t>
  </si>
  <si>
    <t>Резистор ПЭВ-25 1 кОм</t>
  </si>
  <si>
    <t>175</t>
  </si>
  <si>
    <t>0003704604</t>
  </si>
  <si>
    <t>Резистор ПЭВ-25 18 Ом</t>
  </si>
  <si>
    <t>176</t>
  </si>
  <si>
    <t>0003704605</t>
  </si>
  <si>
    <t>Резистор ПЭВ-25 3,9 кОм</t>
  </si>
  <si>
    <t>177</t>
  </si>
  <si>
    <t>0003704606</t>
  </si>
  <si>
    <t>Резистор СП2-1-1кОм....ОС-3-20</t>
  </si>
  <si>
    <t>178</t>
  </si>
  <si>
    <t>0003704607</t>
  </si>
  <si>
    <t>Резистор СП-2-2-1кОм....-ОС-3-20</t>
  </si>
  <si>
    <t>179</t>
  </si>
  <si>
    <t>0003704608</t>
  </si>
  <si>
    <t>Резистор СП-3-9а-150кОм</t>
  </si>
  <si>
    <t>180</t>
  </si>
  <si>
    <t>0003704609</t>
  </si>
  <si>
    <t>Резистор СП3-9а-68кОм</t>
  </si>
  <si>
    <t>181</t>
  </si>
  <si>
    <t>0003604106</t>
  </si>
  <si>
    <t>Реле времени РСВ 18-23, =220 В, 0,3-3,0 с, п/п, УХ</t>
  </si>
  <si>
    <t>182</t>
  </si>
  <si>
    <t>0003704623</t>
  </si>
  <si>
    <t>Реле времени РСВ 18-23, 220 В 50 Гц, 0,3-3,0 с, п/</t>
  </si>
  <si>
    <t>183</t>
  </si>
  <si>
    <t>0003704621</t>
  </si>
  <si>
    <t>Реле времени РСВ18-13,  =220 В, 0,3-3,0 с, п/п УХЛ</t>
  </si>
  <si>
    <t>184</t>
  </si>
  <si>
    <t>0003704620</t>
  </si>
  <si>
    <t>Реле времени РСВ18-13,  220 В 50 Гц, 0,3-3,0 с, п/</t>
  </si>
  <si>
    <t>185</t>
  </si>
  <si>
    <t>0003704619</t>
  </si>
  <si>
    <t>Реле времени РСВ18-13, =110В, 0,3-3,0 с, п/п УХЛ4</t>
  </si>
  <si>
    <t>186</t>
  </si>
  <si>
    <t>0003704622</t>
  </si>
  <si>
    <t>Реле времени РСВ18-23, =110 В, 0,3-3,0 с, п/п, УХЛ</t>
  </si>
  <si>
    <t>187</t>
  </si>
  <si>
    <t>0003704612</t>
  </si>
  <si>
    <t>Реле импульсной сигнализации РИС-Э2М</t>
  </si>
  <si>
    <t>188</t>
  </si>
  <si>
    <t>0003704613</t>
  </si>
  <si>
    <t>Реле максимального тока РСТ40-3/0,6 п/п, УХЛ4</t>
  </si>
  <si>
    <t>189</t>
  </si>
  <si>
    <t>0003704512</t>
  </si>
  <si>
    <t>Реле максимального тока РСТ40-3/100 п/п, УХЛ4</t>
  </si>
  <si>
    <t>190</t>
  </si>
  <si>
    <t>0003704513</t>
  </si>
  <si>
    <t>Реле максимального тока РСТ40-3/20 п/п, УХЛ4</t>
  </si>
  <si>
    <t>191</t>
  </si>
  <si>
    <t>0003704514</t>
  </si>
  <si>
    <t>Реле максимального тока РСТ40-3/200 п/п, УХЛ4</t>
  </si>
  <si>
    <t>192</t>
  </si>
  <si>
    <t>0003704515</t>
  </si>
  <si>
    <t>Реле максимального тока РСТ40-3/50 п/п, УХЛ4</t>
  </si>
  <si>
    <t>193</t>
  </si>
  <si>
    <t>0003704516</t>
  </si>
  <si>
    <t>Реле максимального тока РСТ40-3/6 п/п, УХЛ4</t>
  </si>
  <si>
    <t>194</t>
  </si>
  <si>
    <t>0003704615</t>
  </si>
  <si>
    <t>Реле напряжения обратной последовательности РНФ-IМ</t>
  </si>
  <si>
    <t>195</t>
  </si>
  <si>
    <t>0003604157</t>
  </si>
  <si>
    <t>Реле напряжения РСН 50-2, 200В, УХЛ4</t>
  </si>
  <si>
    <t>196</t>
  </si>
  <si>
    <t>0009103727</t>
  </si>
  <si>
    <t>Реле напряжения РСН-26М, 100В 50Гц, 0,1-10с, п/п, винт, УХЛ4</t>
  </si>
  <si>
    <t>197</t>
  </si>
  <si>
    <t>0003704625</t>
  </si>
  <si>
    <t>Реле напряжения РСН50-1, 60 В, з/п, УХЛ4</t>
  </si>
  <si>
    <t>198</t>
  </si>
  <si>
    <t>0003704626</t>
  </si>
  <si>
    <t>Реле напряжения РСН50-4, 160 В, п/п, УХЛ4</t>
  </si>
  <si>
    <t>199</t>
  </si>
  <si>
    <t>0003704616</t>
  </si>
  <si>
    <t>Реле повышения частоты РЧ-2</t>
  </si>
  <si>
    <t>200</t>
  </si>
  <si>
    <t>0003704618</t>
  </si>
  <si>
    <t>Реле понижения частоты РЧ-1</t>
  </si>
  <si>
    <t>201</t>
  </si>
  <si>
    <t>0003704617</t>
  </si>
  <si>
    <t>Реле промежуточное РП-7</t>
  </si>
  <si>
    <t>202</t>
  </si>
  <si>
    <t>0003704628</t>
  </si>
  <si>
    <t>Реле промежуточное РЭП36-11, =110В, 4"з"+4"р", п/п</t>
  </si>
  <si>
    <t>203</t>
  </si>
  <si>
    <t>0003704768</t>
  </si>
  <si>
    <t>Реле промежуточное РЭП36-11, =220 В, "4"з"+4"р", п</t>
  </si>
  <si>
    <t>204</t>
  </si>
  <si>
    <t>0003604077</t>
  </si>
  <si>
    <t>Реле промежуточное РЭП36-21, 220 В 50 Гц, "4"з"+4"</t>
  </si>
  <si>
    <t>205</t>
  </si>
  <si>
    <t>0003704631</t>
  </si>
  <si>
    <t>Реле промежуточное РЭП37-121, =110В 4"з"+3"р", п/п</t>
  </si>
  <si>
    <t>206</t>
  </si>
  <si>
    <t>0003704632</t>
  </si>
  <si>
    <t>Реле промежуточное РЭП37-121, =220В,  4"з"+3"р", п</t>
  </si>
  <si>
    <t>207</t>
  </si>
  <si>
    <t>0003704633</t>
  </si>
  <si>
    <t>Реле промежуточное РЭП37-221, 220В 50Гц,   4"з"+3"</t>
  </si>
  <si>
    <t>208</t>
  </si>
  <si>
    <t>0003704634</t>
  </si>
  <si>
    <t>Реле промежуточное РЭП38Д-1УХЛ4,3"З"+3"р",110В пос</t>
  </si>
  <si>
    <t>209</t>
  </si>
  <si>
    <t>0003704635</t>
  </si>
  <si>
    <t>Реле промежуточное РЭП38Д-1УХЛ4,3"з"+3"р",220В 50Г</t>
  </si>
  <si>
    <t>210</t>
  </si>
  <si>
    <t>0003704636</t>
  </si>
  <si>
    <t>Реле промежуточное РЭП38Д-1УХЛ4,3"з"+3"р",220В пос</t>
  </si>
  <si>
    <t>211</t>
  </si>
  <si>
    <t>0003604196</t>
  </si>
  <si>
    <t>Реле промежуточное РЭП38Д-2, 220В, 50Гц, 3"з"+3"р"</t>
  </si>
  <si>
    <t>212</t>
  </si>
  <si>
    <t>0003704637</t>
  </si>
  <si>
    <t>Реле промежуточное РЭП38Д-2УХЛ4,3"з"+3"р",110В пос</t>
  </si>
  <si>
    <t>213</t>
  </si>
  <si>
    <t>0003704639</t>
  </si>
  <si>
    <t>Реле промежуточное РЭП38Д-2УХЛ4,3"з"+3"р",220В пос</t>
  </si>
  <si>
    <t>214</t>
  </si>
  <si>
    <t>0003704642</t>
  </si>
  <si>
    <t>Реле РЭПУ-12М-111-УЗ =220В 1,0А</t>
  </si>
  <si>
    <t>215</t>
  </si>
  <si>
    <t>0009103991</t>
  </si>
  <si>
    <t>Реле РСН25 380В, п/п УХЛ4</t>
  </si>
  <si>
    <t>216</t>
  </si>
  <si>
    <t>0009103860</t>
  </si>
  <si>
    <t>Реле РЭПУ-12М-111-3-У 220В 50Гц 0,25А</t>
  </si>
  <si>
    <t>217</t>
  </si>
  <si>
    <t>0003704640</t>
  </si>
  <si>
    <t>Реле РЭПУ-12М-111-3-У3 220В 50Гц,0,16А</t>
  </si>
  <si>
    <t>218</t>
  </si>
  <si>
    <t>0003704641</t>
  </si>
  <si>
    <t>Реле РЭПУ-12М-111-3-УЗ =220В 0,1А</t>
  </si>
  <si>
    <t>219</t>
  </si>
  <si>
    <t>0003704627</t>
  </si>
  <si>
    <t>Реле фотоэлектронное РФС11М -220В, 50Гц, 1"3"+1"р"</t>
  </si>
  <si>
    <t>220</t>
  </si>
  <si>
    <t>0003620991</t>
  </si>
  <si>
    <t>Розетка двуместная окрытой проводки с заземляющими</t>
  </si>
  <si>
    <t>221</t>
  </si>
  <si>
    <t>0003621069</t>
  </si>
  <si>
    <t>Розетка двуместная открытой проводки, 16А</t>
  </si>
  <si>
    <t>222</t>
  </si>
  <si>
    <t>0003620992</t>
  </si>
  <si>
    <t>Розетка двуместная скрытой проводки с заземляющими</t>
  </si>
  <si>
    <t>223</t>
  </si>
  <si>
    <t>0003621153</t>
  </si>
  <si>
    <t>Розетка двуместная скрытой проводки, 16А</t>
  </si>
  <si>
    <t>224</t>
  </si>
  <si>
    <t>0003705008</t>
  </si>
  <si>
    <t>Розетка одноместная открытой проводки с заземляющи</t>
  </si>
  <si>
    <t>225</t>
  </si>
  <si>
    <t>0003621194</t>
  </si>
  <si>
    <t>Розетка одноместная открытой проводки, 16А</t>
  </si>
  <si>
    <t>226</t>
  </si>
  <si>
    <t>0003704855</t>
  </si>
  <si>
    <t>Розетка одноместная скрытой проводки с заземляющим</t>
  </si>
  <si>
    <t>227</t>
  </si>
  <si>
    <t>0003610879</t>
  </si>
  <si>
    <t>Розетка одноместная скрытой проводки, 16А</t>
  </si>
  <si>
    <t>228</t>
  </si>
  <si>
    <t>Розетка четырехместная открытой проводки с заземляющими конт</t>
  </si>
  <si>
    <t>229</t>
  </si>
  <si>
    <t>0006422336</t>
  </si>
  <si>
    <t>Соединитель болтовой СБ-2</t>
  </si>
  <si>
    <t>230</t>
  </si>
  <si>
    <t>0006422337</t>
  </si>
  <si>
    <t>Соединитель болтовой СБ-3</t>
  </si>
  <si>
    <t>231</t>
  </si>
  <si>
    <t>0003704747</t>
  </si>
  <si>
    <t>Стабилитрон Д814А</t>
  </si>
  <si>
    <t>232</t>
  </si>
  <si>
    <t>0003704748</t>
  </si>
  <si>
    <t>Стабилитрон Д814В</t>
  </si>
  <si>
    <t>233</t>
  </si>
  <si>
    <t>0009104030</t>
  </si>
  <si>
    <t>Стабилитрон Д815Б</t>
  </si>
  <si>
    <t>234</t>
  </si>
  <si>
    <t>0003704651</t>
  </si>
  <si>
    <t>Стабилитрон Д815Ж</t>
  </si>
  <si>
    <t>235</t>
  </si>
  <si>
    <t>0003704653</t>
  </si>
  <si>
    <t>Стабилитрон КС 133А</t>
  </si>
  <si>
    <t>236</t>
  </si>
  <si>
    <t>0009003811</t>
  </si>
  <si>
    <t>Стартер  СК-220</t>
  </si>
  <si>
    <t>237</t>
  </si>
  <si>
    <t>0009104581</t>
  </si>
  <si>
    <t>Стартер 4-65Вт 220В</t>
  </si>
  <si>
    <t>238</t>
  </si>
  <si>
    <t>0009104584</t>
  </si>
  <si>
    <t>Стяжка кабельная КСС 3х200 (КВТ)</t>
  </si>
  <si>
    <t>239</t>
  </si>
  <si>
    <t>0009104585</t>
  </si>
  <si>
    <t>Стяжка кабельная КСС 8х400 (КВТ)</t>
  </si>
  <si>
    <t>240</t>
  </si>
  <si>
    <t>0003704654</t>
  </si>
  <si>
    <t>Тиристор КУ201И</t>
  </si>
  <si>
    <t>241</t>
  </si>
  <si>
    <t>0003703888</t>
  </si>
  <si>
    <t>Транзистор 2Т 602А</t>
  </si>
  <si>
    <t>242</t>
  </si>
  <si>
    <t>0003704808</t>
  </si>
  <si>
    <t>Транзистор 2Т 904 А</t>
  </si>
  <si>
    <t>243</t>
  </si>
  <si>
    <t>0003703210</t>
  </si>
  <si>
    <t>Транзистор КT 801 Б</t>
  </si>
  <si>
    <t>244</t>
  </si>
  <si>
    <t>0003704655</t>
  </si>
  <si>
    <t>Транзистор КТ 203 А</t>
  </si>
  <si>
    <t>245</t>
  </si>
  <si>
    <t>0009103862</t>
  </si>
  <si>
    <t>Транзистор КТ 502 Е</t>
  </si>
  <si>
    <t>246</t>
  </si>
  <si>
    <t>0009103863</t>
  </si>
  <si>
    <t>Транзистор КТ 503 А</t>
  </si>
  <si>
    <t>247</t>
  </si>
  <si>
    <t>0009103861</t>
  </si>
  <si>
    <t>Транзистор КТ 805</t>
  </si>
  <si>
    <t>248</t>
  </si>
  <si>
    <t>0009103728</t>
  </si>
  <si>
    <t>Транзистор КТ 815 Б</t>
  </si>
  <si>
    <t>249</t>
  </si>
  <si>
    <t>0009103729</t>
  </si>
  <si>
    <t>Транзистор КТ 815 Г</t>
  </si>
  <si>
    <t>250</t>
  </si>
  <si>
    <t>0009103748</t>
  </si>
  <si>
    <t>Транзистор КТ 818 Б</t>
  </si>
  <si>
    <t>251</t>
  </si>
  <si>
    <t>0003704656</t>
  </si>
  <si>
    <t>Транзистор П 304</t>
  </si>
  <si>
    <t>252</t>
  </si>
  <si>
    <t>0009103730</t>
  </si>
  <si>
    <t>Компьютер Celeron 347 3066/ 533 MHz/512K/EM64T</t>
  </si>
  <si>
    <t>Электрооборудование ячейки трансформатора Т-4 110 кВ ГПП-1</t>
  </si>
  <si>
    <t>Компьютер Celeron326(2/53)/915GV/512/hdd80/SVGA/</t>
  </si>
  <si>
    <t>Компьютер CPU  s775 intel  Celeron D 331 DEM</t>
  </si>
  <si>
    <t>Компьютер CPU s775 intel Celeron D331</t>
  </si>
  <si>
    <t>Компьютер CPU s775 intel Celeron D331/1</t>
  </si>
  <si>
    <t>Компьютер CPU s775 intel Celeron D346</t>
  </si>
  <si>
    <t>Компьютер Foxconn 661 MX/FXME Socket 478 SIS</t>
  </si>
  <si>
    <t>Компьютер IBM PC Original</t>
  </si>
  <si>
    <t>Расходы из прибыли, в том числе:</t>
  </si>
  <si>
    <t>1.5.1.</t>
  </si>
  <si>
    <t xml:space="preserve">                   Расходы социального характера</t>
  </si>
  <si>
    <t>2.</t>
  </si>
  <si>
    <t>тыс. рублей на 
человека</t>
  </si>
  <si>
    <t>5.3.</t>
  </si>
  <si>
    <t>Ремонт мазутного резервуара № 2</t>
  </si>
  <si>
    <t>Демонтаж мазутного резервуара № 1</t>
  </si>
  <si>
    <t xml:space="preserve">Оснащение горелок котла ПТВМ-50 ст. №11 быстродействующими предохранитель-ными запорными клапанами с автоматической проверкой герметичности затворов клапанов перед розжигом котла.
Техническое перевооружение запально– защитных устройств с сигнализатором ЛУЧ-1АМ водогрейного котла ПТВМ-50 ст. №11.
</t>
  </si>
  <si>
    <t xml:space="preserve">Оснащение горелок котла ПТВМ-50 ст. №12 быстродействующими предохранитель-ными запорными клапанами с автоматической проверкой герметичности затворов клапанов перед розжигом котла.                        Техническое перевооружение запально– защитных устройств с сигнализатором ЛУЧ-1АМ водогрейного котла ПТВМ-50 ст. №12.
</t>
  </si>
  <si>
    <t>Оснащение горелок котла ПТВМ-30 ст. №13 быстродействующими предохранитель-ными запорными клапанами с автоматической проверкой герметичности затворов клапанов перед розжигом котла.</t>
  </si>
  <si>
    <t>Техническое освидетельствование и оценка технического состояния строительных конструкций противопожарных стеновых сооружений ОРУ-110кВ ГПП-1 с разработкой проектно-сметной документации на строительный ремонт.(при необходимости)</t>
  </si>
  <si>
    <t>Техническое освидетельствование и оценка технического состояния строительных конструкций бассейновой опорной площадки стационар-ного маслохозяйства ГПП-1с разработкой проектно-сметной документации на строительный ремонт.(при необходимости)</t>
  </si>
  <si>
    <t>Капитальный ремонт без смены обмоток трансформатора Т2 110/10 ТДН-16000/110/10 подстанции Промзона-2 г. Б.Калитва</t>
  </si>
  <si>
    <t>1. Коэффициент значимости показателя уровня надежности оказываемых услуг, альфа</t>
  </si>
  <si>
    <t xml:space="preserve">Для территориальной сетевой организации:
альфа = 0,65
</t>
  </si>
  <si>
    <t>2. Коэффициент значимости показателя уровня качества оказываемых услуг, бета</t>
  </si>
  <si>
    <t>бета = 1 - альфа</t>
  </si>
  <si>
    <t>3. Оценка достижения показателя уровня надежности оказываемых услуг, Кнад</t>
  </si>
  <si>
    <t>п.7.1</t>
  </si>
  <si>
    <t>4. Оценка достижения показателя уровня качества оказываемых услуг,  Ккач</t>
  </si>
  <si>
    <t>5. Обобщенный показатель уровня надежности и качества оказываемых услуг, Коб</t>
  </si>
  <si>
    <t>Расчет повышающего коэффициента НВВ на 2017 г. по итогам 2015 г. в соответствии с  приказом ФСТ от 26.10.2010 г. №254-э/1</t>
  </si>
  <si>
    <t>КНК = Коб * Пкор =</t>
  </si>
  <si>
    <t>КНК</t>
  </si>
  <si>
    <t>понижающий (повышающий) коэффициент, корректирующий необходимую валовую выручку сетевой организации с учетом надежности и качества производимых (реализуемых) товаров (услуг) в году i</t>
  </si>
  <si>
    <t>Пкор</t>
  </si>
  <si>
    <t>максимальный процент корректировки, начиная с 2013 года = 2%</t>
  </si>
  <si>
    <t>Генеральный директор</t>
  </si>
  <si>
    <t>Р.А. Мижерицкий</t>
  </si>
  <si>
    <t>4.4.1.</t>
  </si>
  <si>
    <t>Приложение № 1</t>
  </si>
  <si>
    <t>Приложение № 2
к предложению о размере цен (тарифов), долгосрочных параметров регулирования</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</si>
  <si>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</si>
  <si>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</si>
  <si>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</si>
  <si>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</si>
  <si>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(форма)</t>
  </si>
  <si>
    <t>ПРЕДЛОЖЕНИЕ</t>
  </si>
  <si>
    <t>о размере цен (тарифов), долгосрочных параметров регулирования</t>
  </si>
  <si>
    <t>№ 
п/п</t>
  </si>
  <si>
    <t>Наименование показателей</t>
  </si>
  <si>
    <t>Фактические показатели 
за год, предшествующий базовому периоду (2016)</t>
  </si>
  <si>
    <t>Показатели, утвержденные 
на базовый период (2017)</t>
  </si>
  <si>
    <t>Предложения 
на расчетный период регулирования (2018)</t>
  </si>
  <si>
    <t>(вид цены (тарифа) на 2018г.</t>
  </si>
  <si>
    <t>Показатели эффективности деятельности организации</t>
  </si>
  <si>
    <t>(расчетный период регулирования)</t>
  </si>
  <si>
    <t>Выручка</t>
  </si>
  <si>
    <t>тыс. рублей</t>
  </si>
  <si>
    <t>ООО "Ростсельмашэнерго" (ООО "РСМЭ")</t>
  </si>
  <si>
    <t>1.2.</t>
  </si>
  <si>
    <t>Прибыль (убыток) от продаж</t>
  </si>
  <si>
    <t>(полное и сокращенное наименование юридического лица)</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</si>
  <si>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</si>
  <si>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</si>
  <si>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</si>
  <si>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</si>
  <si>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</si>
  <si>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</si>
  <si>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</si>
  <si>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к предложению о размере цен (тарифов), долгосрочных параметров регулирования</t>
  </si>
  <si>
    <t>Ремонт и нанесение антикоррозийного покры-тия на металлоконструкции порталов по результатам освидетельствования и ремонт опорных стоек оборудования 2 секции ОРУ-110кВ  ГПП-1</t>
  </si>
  <si>
    <t>Реконструкция электрооборудования ячеек Т-1, Т-2, ТП-120 распределительного устройства 6кВ ТП-24;  Т-1, Т-2, ТП-120, ТП-22 распределительного устройства 6кВ ТП-33,Т-1, Т-2, РУ-6 ТВЧ распределительного устройства 6кВТП-101, с заменой масляных выключателей на вакуумные.</t>
  </si>
  <si>
    <t>Ремонт и нанесение антикоррозийного покрытия металлоконструкции опор ВЛ-110 кВ "Глубокого ввода" 1,2  №№ 9-19  ГПП-1</t>
  </si>
  <si>
    <t>Ремонт перекрытия кабельного тоннеля ТЭЦ 216  п/м</t>
  </si>
  <si>
    <t>Изменение №4</t>
  </si>
  <si>
    <t>Разборка трансформаторов 110/6 ТДН-25000/110/6  1956 г.и  ТДНГ-20000/110/6 1962 г. на  подстанции ГПП-1</t>
  </si>
  <si>
    <t>Изменение №5</t>
  </si>
  <si>
    <t>демонтаж, перемещение и подготовка фундамента для последующего монтажа силового трансформатора 2Т ТРДН-40000/110 ГПП-3. Капитальный ремонт без смены обмоток трансформатора 110/6 ТРДН-40000/110 2Т подстанции ГПП-1, устранение дефектов согласно техотчету №191/15-01 ООО «Сервисный центр – Тольяттинский Трансформатор» после монтажа трансформатора на месте установки, для нужд ООО «Ростсельмашэнерго».</t>
  </si>
  <si>
    <t>п.п. 11 и</t>
  </si>
  <si>
    <t xml:space="preserve">                       (ФИО)</t>
  </si>
  <si>
    <t xml:space="preserve">Замечание </t>
  </si>
  <si>
    <t>Учтено (в каком пункте)/ отклонено (обоснование) и подпись</t>
  </si>
  <si>
    <t xml:space="preserve">(предложение) </t>
  </si>
  <si>
    <t>и подпись</t>
  </si>
  <si>
    <t>Какой пункт</t>
  </si>
  <si>
    <t>Новая редакция</t>
  </si>
  <si>
    <t>Основание</t>
  </si>
  <si>
    <t>Дата</t>
  </si>
  <si>
    <t>Подпись ответственного за корректировку</t>
  </si>
  <si>
    <t>изменен</t>
  </si>
  <si>
    <t>изменения</t>
  </si>
  <si>
    <t>п.п. 11 к</t>
  </si>
  <si>
    <t>Заявители, намеревающиеся перераспределить максимальную мощность принадлежащих им энергопринимающих устройств в пользу иных лиц, отсутствуют</t>
  </si>
  <si>
    <t>Показатель уровня надежности оказываемых услуг и порядок
расчета его значений</t>
  </si>
  <si>
    <t>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(Пп ) определяется по формуле:</t>
  </si>
  <si>
    <t>Пп=Тпр / Nтп</t>
  </si>
  <si>
    <t>6.1. Общее количество обращений потребителей услуг о проведении консультаций по вопросам деятельности территориальной сетевой организации, процентов от общего количества поступивших обращений</t>
  </si>
  <si>
    <t>5.1. Средняя продолжительность времени на принятие территориальной сетевой организацией мер по возмещению потребителю услуг убытков, месяцев</t>
  </si>
  <si>
    <t>6.2.</t>
  </si>
  <si>
    <t>6.2. Количество обращений потребителей услуг с указанием на отсутствие необходимой информации, которая должна быть раскрыта территориальной сетевой организацией в соответствии с нормативными правовыми актами, процентов от общего количества поступивших обр</t>
  </si>
  <si>
    <t>5.2. Доля потребителей услуг, получивших возмещение убытков, возникших в результате неисполнения (ненадлежащего исполнения) территориальной сетевой организацией своих обязательств, от числа потребителей, в пользу которых было вынесено судебное решение, ил</t>
  </si>
  <si>
    <t>7. Итого по индикатору информативности</t>
  </si>
  <si>
    <t>6. Итого по индикатору результативность обратной связи</t>
  </si>
  <si>
    <t xml:space="preserve">&lt;1&gt; Расчет производится при наличии в территориальной сетевой организации Системы </t>
  </si>
  <si>
    <t>автоинформирования (голосовая, СМС и другим способом).</t>
  </si>
  <si>
    <t>1.3.</t>
  </si>
  <si>
    <t>4.1.</t>
  </si>
  <si>
    <t>3.2. а)</t>
  </si>
  <si>
    <t>3.2. б)</t>
  </si>
  <si>
    <t>3.2. в)</t>
  </si>
  <si>
    <t>Предлагаемое плановое значение показателя уровня качества обслуживания потребителей услуг территориальными сетевыми организациями</t>
  </si>
  <si>
    <t xml:space="preserve">При этом если плановое и фактическое значения параметра (критерия) равны нулю, то величина (Ф / П x 100) принимается равной 100%, а если плановое значение равно нулю и </t>
  </si>
  <si>
    <t>фактическое значение параметра (критерия) больше нуля, то величина (Ф / П x 100) принимается равной 120%.</t>
  </si>
  <si>
    <t>Оценка каждого параметра (критерия) производится по трехбалльной шкале:</t>
  </si>
  <si>
    <r>
      <t xml:space="preserve">оценка, равная 3 баллам (по </t>
    </r>
    <r>
      <rPr>
        <sz val="10"/>
        <color indexed="12"/>
        <rFont val="Arial"/>
        <family val="2"/>
        <charset val="204"/>
      </rPr>
      <t>пунктам 1</t>
    </r>
    <r>
      <rPr>
        <sz val="10"/>
        <rFont val="Arial"/>
        <family val="2"/>
        <charset val="204"/>
      </rPr>
      <t xml:space="preserve">, </t>
    </r>
    <r>
      <rPr>
        <sz val="10"/>
        <color indexed="12"/>
        <rFont val="Arial"/>
        <family val="2"/>
        <charset val="204"/>
      </rPr>
      <t>2</t>
    </r>
    <r>
      <rPr>
        <sz val="10"/>
        <rFont val="Arial"/>
        <family val="2"/>
        <charset val="204"/>
      </rPr>
      <t xml:space="preserve"> и </t>
    </r>
    <r>
      <rPr>
        <sz val="10"/>
        <color indexed="12"/>
        <rFont val="Arial"/>
        <family val="2"/>
        <charset val="204"/>
      </rPr>
      <t>3 формы 2.2</t>
    </r>
    <r>
      <rPr>
        <sz val="10"/>
        <rFont val="Arial"/>
        <family val="2"/>
        <charset val="204"/>
      </rPr>
      <t xml:space="preserve"> приложения N 2 к настоящим методическим указаниям равная 0,75 балла; по </t>
    </r>
    <r>
      <rPr>
        <sz val="10"/>
        <color indexed="12"/>
        <rFont val="Arial"/>
        <family val="2"/>
        <charset val="204"/>
      </rPr>
      <t>пункту 4 формы 2.2</t>
    </r>
    <r>
      <rPr>
        <sz val="10"/>
        <rFont val="Arial"/>
        <family val="2"/>
        <charset val="204"/>
      </rPr>
      <t xml:space="preserve"> к настоящим Методическим указаниям равная 0,3 балла), </t>
    </r>
  </si>
  <si>
    <t>СБОРНЫЕ ШИНЫ 1СШ РУ-6-1  ТЭЦ, инв.№00018810</t>
  </si>
  <si>
    <t>Сепаратор продувки СП-0,7-0,6, инв.№00250267</t>
  </si>
  <si>
    <t>Станция КНС ул.Веры Пановой, инв.№00000569</t>
  </si>
  <si>
    <t>Мост управляемый к электротележке ЕП-011</t>
  </si>
  <si>
    <t>0003704673</t>
  </si>
  <si>
    <t>Покрышка резиновая КАМА-303 8,25R20У2 125/122</t>
  </si>
  <si>
    <t>0009004019</t>
  </si>
  <si>
    <t>Покрышка с камерой индустриальная 6.00-13 В-98 "за</t>
  </si>
  <si>
    <t>0009004018</t>
  </si>
  <si>
    <t>Покрышка с камерой индустриальная 6.00-13 ВЛ-24 "п</t>
  </si>
  <si>
    <t>0006943007</t>
  </si>
  <si>
    <t>Рессора полая резиновая к электротележке ЕП-011 ка</t>
  </si>
  <si>
    <t>0009103774</t>
  </si>
  <si>
    <t>Сервотормоз рессора к электротележке ЕП-011 кат.№6980</t>
  </si>
  <si>
    <t>0009103628</t>
  </si>
  <si>
    <t>Система тормозная к электротележке ЕП-011</t>
  </si>
  <si>
    <t>0009103627</t>
  </si>
  <si>
    <t>Система управления к электротележке ЕП-011</t>
  </si>
  <si>
    <t>0006943009</t>
  </si>
  <si>
    <t>Цилиндр рабочий тормозной ГАЗ-6611</t>
  </si>
  <si>
    <t>Свеча зажигания "Bosch"</t>
  </si>
  <si>
    <t>Свеча зажигания А11</t>
  </si>
  <si>
    <t>Свеча  А-17</t>
  </si>
  <si>
    <t>Фара передняя правая ГАЗ-2752</t>
  </si>
  <si>
    <t>Комплект предохранителей ГАЗ 3110</t>
  </si>
  <si>
    <t>Комплект предохранителей ГАЗ 2752</t>
  </si>
  <si>
    <t>Коробка КПП ГАЗ-3307</t>
  </si>
  <si>
    <t>Подшипник выжимной ГАЗ-3307</t>
  </si>
  <si>
    <t>Коммутатор-транзистор 131.3734 ГАЗ-3307, ГАЗ-53</t>
  </si>
  <si>
    <t xml:space="preserve">Гидроусилитель руля ГАЗ-66 </t>
  </si>
  <si>
    <t>Ручка левая наружная ГАЗ 3110</t>
  </si>
  <si>
    <t>12.1.130</t>
  </si>
  <si>
    <t>0003804027</t>
  </si>
  <si>
    <t>Асбокрошка</t>
  </si>
  <si>
    <t>Бетон М-100</t>
  </si>
  <si>
    <t>м3</t>
  </si>
  <si>
    <t>0009104456</t>
  </si>
  <si>
    <t>Брус 100х100х6000</t>
  </si>
  <si>
    <t>0009104457</t>
  </si>
  <si>
    <t>Брус 40х40х6000</t>
  </si>
  <si>
    <t>0009104458</t>
  </si>
  <si>
    <t>Брус 60х60х6000</t>
  </si>
  <si>
    <t>0006415005</t>
  </si>
  <si>
    <t>Гвоздь 100мм</t>
  </si>
  <si>
    <t>0003704314</t>
  </si>
  <si>
    <t>Информация о выполненных технологических присоединениях к электрическим сетям ООО "Ростсельмашэнерго" за 2011 г.</t>
  </si>
  <si>
    <t>Информация о выполненных технологических присоединениях к электрическим сетям ООО "Ростсельмашэнерго" за 2012 г.</t>
  </si>
  <si>
    <t>Информация о выполненных технологических присоединениях к электрическим сетям ООО "Ростсельмашэнерго" за 2013 г.</t>
  </si>
  <si>
    <t>Информация о выполненных технологических присоединениях к электрическим сетям ООО "Ростсельмашэнерго" за 2014 г.</t>
  </si>
  <si>
    <t>Информация о выполненных технологических присоединениях к электрическим сетям ООО "Ростсельмашэнерго" за 2015 г.</t>
  </si>
  <si>
    <t>Информация о выполненных технологических присоединениях к электрическим сетям ООО "Ростсельмашэнерго" за 2016 г.</t>
  </si>
  <si>
    <t>Информация о выполненных технологических присоединениях к электрическим сетям ООО "Ростсельмашэнерго" за 2017 г.</t>
  </si>
  <si>
    <t>п.п. 11 В (1)</t>
  </si>
  <si>
    <t>Информация о величине резервируемой максимальной мощности за 2015 год</t>
  </si>
  <si>
    <t>Уровень напряжения</t>
  </si>
  <si>
    <t>Резервируемая максимальная мощность, МВт</t>
  </si>
  <si>
    <t>I квартал</t>
  </si>
  <si>
    <t>II квартал</t>
  </si>
  <si>
    <t>III квартал</t>
  </si>
  <si>
    <t>IV квартал</t>
  </si>
  <si>
    <t>СН-1</t>
  </si>
  <si>
    <t>СН-2</t>
  </si>
  <si>
    <t>НН</t>
  </si>
  <si>
    <t>Информация о величине резервируемой максимальной мощности за 2016 год</t>
  </si>
  <si>
    <t>п.п. 11 Г</t>
  </si>
  <si>
    <t>СВОДНАЯ ВЕДОМОСТЬ АКТИВНОЙ НАГРУЗКИ</t>
  </si>
  <si>
    <t>День единого замера 15 декабря 2010 года</t>
  </si>
  <si>
    <t>День единого замера 15 июня 2011 года</t>
  </si>
  <si>
    <t>День единого замера 21 декабря 2011 года</t>
  </si>
  <si>
    <t>ООО "РОСТСЕЛЬМАШЭНЕРГО"</t>
  </si>
  <si>
    <t>часы</t>
  </si>
  <si>
    <t>потреблено от ЦЭС</t>
  </si>
  <si>
    <t xml:space="preserve">абоненты  ЦЭС  ОАО "Донэнерго" </t>
  </si>
  <si>
    <t>абоненты ЦЭС ОАО "Коммунальщик Дона"</t>
  </si>
  <si>
    <t>абоненты ЦЭС: ТКЭ, Горсвет, Югавторемонт, Росэнергосервис</t>
  </si>
  <si>
    <t>потреблено заводом</t>
  </si>
  <si>
    <t>СВОДНАЯ ВЕДОМОСТЬ РЕАКТИВНОЙ НАГРУЗКИ</t>
  </si>
  <si>
    <t>МВАр</t>
  </si>
  <si>
    <t>тыс. кВар</t>
  </si>
  <si>
    <r>
      <rPr>
        <b/>
        <sz val="11"/>
        <color indexed="8"/>
        <rFont val="Calibri"/>
        <family val="2"/>
        <charset val="204"/>
      </rPr>
      <t xml:space="preserve">Постановления РСТ РО О стандартизированных ставках и ставках за единицу максимальной мощности за технологическое присоединение энергопринимающих устройств к распределительным электрическим сетям ООО "Ростсельмашэнерго" находятся на официальном сайте ООО "Ростсельмашэнерго" на странице         </t>
    </r>
    <r>
      <rPr>
        <sz val="11"/>
        <color theme="1"/>
        <rFont val="Calibri"/>
        <family val="2"/>
        <charset val="204"/>
        <scheme val="minor"/>
      </rPr>
      <t xml:space="preserve">   </t>
    </r>
    <r>
      <rPr>
        <b/>
        <sz val="11"/>
        <color indexed="30"/>
        <rFont val="Calibri"/>
        <family val="2"/>
        <charset val="204"/>
      </rPr>
      <t>http://www.rsmenergo.ru/raskrytie/ooo-rostselmashenergo</t>
    </r>
    <r>
      <rPr>
        <sz val="11"/>
        <color theme="1"/>
        <rFont val="Calibri"/>
        <family val="2"/>
        <charset val="204"/>
        <scheme val="minor"/>
      </rPr>
      <t xml:space="preserve">
  </t>
    </r>
  </si>
  <si>
    <t>http://www.rsmenergo.ru/raskrytie/ooo-rostselmashenergo</t>
  </si>
  <si>
    <t>п.п. 11 Б-1</t>
  </si>
  <si>
    <t>Договорные объемы услуг по передаче электрической энергии (мощности) на 2012 год</t>
  </si>
  <si>
    <t>ООО "Ростсельмашэнерго"</t>
  </si>
  <si>
    <t>г.Ростов-на-Дону</t>
  </si>
  <si>
    <t>Электроэнергия</t>
  </si>
  <si>
    <t xml:space="preserve"> Наименование присоединения</t>
  </si>
  <si>
    <t>Уровень питаюшего напряжения, кВ</t>
  </si>
  <si>
    <t>Прием/ отдача по отношению к Исполнителю</t>
  </si>
  <si>
    <t>В том числе по кварталам и месяцам       МВтч</t>
  </si>
  <si>
    <t>ГОД</t>
  </si>
  <si>
    <t xml:space="preserve"> I квартал </t>
  </si>
  <si>
    <t xml:space="preserve">II квартал </t>
  </si>
  <si>
    <t xml:space="preserve">III квартал </t>
  </si>
  <si>
    <t xml:space="preserve">IV квартал </t>
  </si>
  <si>
    <t>январь</t>
  </si>
  <si>
    <t>февраль</t>
  </si>
  <si>
    <t>март</t>
  </si>
  <si>
    <t>апрель</t>
  </si>
  <si>
    <t>май</t>
  </si>
  <si>
    <t>июнь</t>
  </si>
  <si>
    <t>июль</t>
  </si>
  <si>
    <t>август</t>
  </si>
  <si>
    <t>сентябрь</t>
  </si>
  <si>
    <t>октябрь</t>
  </si>
  <si>
    <t>ноябрь</t>
  </si>
  <si>
    <t>Руководствуясь п. 81 "Основ ценообразования в области регулируемых цен (тарифов) в электроэнергетике", утверждённых ПП РФ от 29.12.2011г. №1178, ОАО "МРСК Юга", в лице филиала ОАО "МРСК Юга"-"Ростовэнерго", произвело выбор двухставочного тарифа для осуществления расчётов за оказание услуг по передачи электрической энергии (мощности) в 2015 г.</t>
  </si>
  <si>
    <t>Плановый доход от деятельности по передаче эл.энергии (мощности) через сети ООО "РСМЭ" абонента МРСК-Ростовэнерго в 2015 г. по ВН</t>
  </si>
  <si>
    <t>Объем эл.эн.2015г., кВтч</t>
  </si>
  <si>
    <t>Объем мощности 2015 г., кВт</t>
  </si>
  <si>
    <t>Ставка на содержание сетей, руб/кВт*мес</t>
  </si>
  <si>
    <t>Ставка на оплату технологических потерь, руб/кВт*ч</t>
  </si>
  <si>
    <t>Фактический доход от деятельности по передаче эл.энергии (мощности) через сети ООО "РСМЭ" абонента МРСК-Ростовэнерго в 2015 г. по ВН</t>
  </si>
  <si>
    <t>2016 г.</t>
  </si>
  <si>
    <t>Плановый доход от деятельности по передаче эл.энергии (мощности) через сети ООО "РСМЭ" абонента МРСК-Ростовэнерго в 2016 г. по ВН</t>
  </si>
  <si>
    <t>Объем эл.эн.2016г., кВтч</t>
  </si>
  <si>
    <t>план ввода основных средств в натуральном и стоимостном выражении с разделением по инвестиционным проектам, составленный на период реализации инвестиционной программы (проекта инвестиционной программы), в том числе с распределением по кварталам в 1-м году реализации инвестиционной программы (проекта инвестиционной программы) и году, в котором раскрывается инвестиционная программа (если применимо);</t>
  </si>
  <si>
    <t>финансовый план субъекта электроэнергетики, составленный на период реализации инвестиционной программы (проекта инвестиционной программы), начиная с 1-го года ее реализации, с разделением по видам деятельности (в том числе регулируемым государством), а также с указанием источников и способов финансирования инвестиционной программы (проекта инвестиционной программы) и отчетных показателей исполнения финансового плана субъекта электроэнергетики за предыдущий и текущий годы;</t>
  </si>
  <si>
    <t>Мероприятия по технологическому присоединению:</t>
  </si>
  <si>
    <t>Кисть КФ 50мм</t>
  </si>
  <si>
    <t>0007318048</t>
  </si>
  <si>
    <t>Кисть КФ 65мм</t>
  </si>
  <si>
    <t>0007318066</t>
  </si>
  <si>
    <t>Кисть КФ 70мм</t>
  </si>
  <si>
    <t>0003704491</t>
  </si>
  <si>
    <t>Кисть КФ 75мм</t>
  </si>
  <si>
    <t>0003704492</t>
  </si>
  <si>
    <t>Кисть макловица круглая</t>
  </si>
  <si>
    <t>0003704493</t>
  </si>
  <si>
    <t>Кисть макловица плоская</t>
  </si>
  <si>
    <t>0009104526</t>
  </si>
  <si>
    <t>Ключ разводной КР-1</t>
  </si>
  <si>
    <t>0009104527</t>
  </si>
  <si>
    <t>Ключ разводной КР-2</t>
  </si>
  <si>
    <t>0009104528</t>
  </si>
  <si>
    <t>Ключ разводной КР-3</t>
  </si>
  <si>
    <t>0009104533</t>
  </si>
  <si>
    <t>Комплект конусов морзе № 1-5</t>
  </si>
  <si>
    <t>0009102154</t>
  </si>
  <si>
    <t>Краскораспылитель СО-71 В-1 с бачком</t>
  </si>
  <si>
    <t>0009103632</t>
  </si>
  <si>
    <t>Круг отрезной 125х1,6х22</t>
  </si>
  <si>
    <t>0009103765</t>
  </si>
  <si>
    <t>Круг отрезной 125х3х22</t>
  </si>
  <si>
    <t>0007101003</t>
  </si>
  <si>
    <t>Круг отрезной 230х3х22</t>
  </si>
  <si>
    <t>0009103633</t>
  </si>
  <si>
    <t>Круг отрезной 400х3х32</t>
  </si>
  <si>
    <t>0009104180</t>
  </si>
  <si>
    <t>Круг шлифовальный 200х32х32 25А</t>
  </si>
  <si>
    <t>0009103766</t>
  </si>
  <si>
    <t>Круг шлифовальный 200х32х32 54С</t>
  </si>
  <si>
    <t>0003703964</t>
  </si>
  <si>
    <t>Круглогубцы 150мм</t>
  </si>
  <si>
    <t>0003704495</t>
  </si>
  <si>
    <t>Кусачки боковые с изолирующими рукоятками 160 мм</t>
  </si>
  <si>
    <t>0000913035</t>
  </si>
  <si>
    <t>Линейка измерительная 1000 мм</t>
  </si>
  <si>
    <t>0000913034</t>
  </si>
  <si>
    <t>Линейка измерительная 500 мм</t>
  </si>
  <si>
    <t>0000913094</t>
  </si>
  <si>
    <t>Линейка металлическая 300 мм</t>
  </si>
  <si>
    <t>0009104557</t>
  </si>
  <si>
    <t>Лом такелажный RC-50 5т</t>
  </si>
  <si>
    <t>0007316248</t>
  </si>
  <si>
    <t>Лопата совковая ГОСТ 19596-87</t>
  </si>
  <si>
    <t>0007316247</t>
  </si>
  <si>
    <t>Лопата штыковая ГОСТ 19596-87</t>
  </si>
  <si>
    <t>0003616064</t>
  </si>
  <si>
    <t>Шлифмашина угловая Bosch 230мм</t>
  </si>
  <si>
    <t>0002901088</t>
  </si>
  <si>
    <t>Метр складной металлический</t>
  </si>
  <si>
    <t>0009102203</t>
  </si>
  <si>
    <t>Молоток 500 гр</t>
  </si>
  <si>
    <t>0009102244</t>
  </si>
  <si>
    <t>Молоток 800гр</t>
  </si>
  <si>
    <t>0003704679</t>
  </si>
  <si>
    <t>Набор зубил для перфоратора</t>
  </si>
  <si>
    <t>0009104561</t>
  </si>
  <si>
    <t>Набор инструмента СТ-840</t>
  </si>
  <si>
    <t>0009101085</t>
  </si>
  <si>
    <t>Набор ключей "FORCE"</t>
  </si>
  <si>
    <t>0003704287</t>
  </si>
  <si>
    <t>Набор ключей накидных 10-32мм</t>
  </si>
  <si>
    <t>набор</t>
  </si>
  <si>
    <t>0003704289</t>
  </si>
  <si>
    <t>Набор ключей рожковых 10-32мм</t>
  </si>
  <si>
    <t>0003704290</t>
  </si>
  <si>
    <t>Набор ключей торцевых 10-30мм</t>
  </si>
  <si>
    <t>0009102149</t>
  </si>
  <si>
    <t>Набор ключей шестигранных</t>
  </si>
  <si>
    <t>0009103877</t>
  </si>
  <si>
    <t>Набор метчиков 1,2G-2G сталь Р6М5</t>
  </si>
  <si>
    <t>0009104562</t>
  </si>
  <si>
    <t>Набор метчиков сталь Р6М5  М3-М20</t>
  </si>
  <si>
    <t>0009102278</t>
  </si>
  <si>
    <t>Набор надфилей в комплекте с надфиледержателем</t>
  </si>
  <si>
    <t>0009103471</t>
  </si>
  <si>
    <t>Набор напильников плоских №1</t>
  </si>
  <si>
    <t>0009103513</t>
  </si>
  <si>
    <t>Набор отвёрток диэлектрических VTSCRSET1N</t>
  </si>
  <si>
    <t>0009103524</t>
  </si>
  <si>
    <t>Набор отверток слесарных 20 - 35 см</t>
  </si>
  <si>
    <t>0009103472</t>
  </si>
  <si>
    <t>Набор просечек ф 4,0-20,0</t>
  </si>
  <si>
    <t>0003704690</t>
  </si>
  <si>
    <t>Набор сверел по бетону 12-200 мм</t>
  </si>
  <si>
    <t>0003704691</t>
  </si>
  <si>
    <t>Набор сверел по бетону 6-12мм</t>
  </si>
  <si>
    <t>0009102090</t>
  </si>
  <si>
    <t>Набор слесарного диэлектрического инструмента №5</t>
  </si>
  <si>
    <t>0009102197</t>
  </si>
  <si>
    <t>Привод ПЭ-11</t>
  </si>
  <si>
    <t>165</t>
  </si>
  <si>
    <t>0003604079</t>
  </si>
  <si>
    <t>Разрядник вентильный РВО-6</t>
  </si>
  <si>
    <t>166</t>
  </si>
  <si>
    <t>0003604071</t>
  </si>
  <si>
    <t>Разрядник вентильный РВС-15</t>
  </si>
  <si>
    <t>167</t>
  </si>
  <si>
    <t>0003604086</t>
  </si>
  <si>
    <t xml:space="preserve">Сырье, основные материалы </t>
  </si>
  <si>
    <t>Автомобиль ГАЗ-33023 (В 066 ММ), инв.№00250251</t>
  </si>
  <si>
    <t>Внеплощ.сети ВК(слив канал)     Л, инв.№00026552</t>
  </si>
  <si>
    <t xml:space="preserve">2.  </t>
  </si>
  <si>
    <t xml:space="preserve">Вспомогательные материалы </t>
  </si>
  <si>
    <t>Вн.площ.сети водоснабжения и канализации, инв.№00060580</t>
  </si>
  <si>
    <t>Внеплощадочные сети ВК(канал)     Ф, инв.№00026538</t>
  </si>
  <si>
    <t xml:space="preserve">3.  </t>
  </si>
  <si>
    <t>Выключатель колонковый элегазовый зав.№193, инв.№00250254</t>
  </si>
  <si>
    <t>Внутриплощ.сети водопровода и канализации, инв.№00027803</t>
  </si>
  <si>
    <t xml:space="preserve">4.   </t>
  </si>
  <si>
    <t xml:space="preserve">Топливо на технологические цели         </t>
  </si>
  <si>
    <t>Выключатель колонковый элегазовый зав.№194, инв.№00250256</t>
  </si>
  <si>
    <t>Копир КМА CANON NP-7161 А 3, инв.№00250034</t>
  </si>
  <si>
    <t xml:space="preserve">5.  </t>
  </si>
  <si>
    <t>ЗУ 1003 кв. м. (ул.Пановой, 30б), инв.№00250264</t>
  </si>
  <si>
    <t>МАСЛ.ВЫКЛ.4000А МГГ    Э, инв.№00028228</t>
  </si>
  <si>
    <t xml:space="preserve">5.1.   </t>
  </si>
  <si>
    <t>Энергия    на    технологические    цели</t>
  </si>
  <si>
    <t>ЗУ 551 (22543) кв.м ул.50лет Ростсельмаша,№2-6/22), инв.№00250243</t>
  </si>
  <si>
    <t>Насос ГНОМ 100/25, инв.№00106300</t>
  </si>
  <si>
    <t xml:space="preserve">5.2.   </t>
  </si>
  <si>
    <t xml:space="preserve">Энергия на хозяйственные нужды          </t>
  </si>
  <si>
    <t>Измеритель ПЗО-500 ПРО, инв.№00250252</t>
  </si>
  <si>
    <t xml:space="preserve">6.  </t>
  </si>
  <si>
    <t xml:space="preserve">Затраты на оплату труда                 </t>
  </si>
  <si>
    <t>Измеритель ПЗО-500 ПРО, инв.№00250253</t>
  </si>
  <si>
    <t>Отводящие и подводящие сети, инв.№00083879</t>
  </si>
  <si>
    <t xml:space="preserve">7.     </t>
  </si>
  <si>
    <t xml:space="preserve">Отчисления на социальные нужды          </t>
  </si>
  <si>
    <t>Котел №2 ДЕ-25-380ГМ, инв.№00250250</t>
  </si>
  <si>
    <t>Перелив коллект.от угла хоз.пит.      Л, инв.№00092133</t>
  </si>
  <si>
    <t xml:space="preserve">8.  </t>
  </si>
  <si>
    <t xml:space="preserve">Амортизация основных средств            </t>
  </si>
  <si>
    <t>Микромметр ИКС-5, инв.№00250240</t>
  </si>
  <si>
    <t>Терминальная станция, инв.№00250167</t>
  </si>
  <si>
    <t xml:space="preserve">9.  </t>
  </si>
  <si>
    <t xml:space="preserve">Прочие затраты всего, в том числе:      </t>
  </si>
  <si>
    <t>Мотопомпа Хонда WT20 ХКЗ, инв.№00250247</t>
  </si>
  <si>
    <t>ТУРБОКОМПРЕССОР ТГ- 150-1,14, инв.№00088493</t>
  </si>
  <si>
    <t xml:space="preserve">10.  </t>
  </si>
  <si>
    <t xml:space="preserve">Итого расходов  </t>
  </si>
  <si>
    <t>Насос СД 160/45 с двигателем 37кВт, инв.№00250248</t>
  </si>
  <si>
    <t>ТУРБОКОМПРЕССОР ТГ-150-1,14, инв.№00088492</t>
  </si>
  <si>
    <t>Насос-дозатор НД-100/10,проиводительностью 100л/ч, инв.№00250249</t>
  </si>
  <si>
    <t>Насосная станция химстоков, инв.№00000570</t>
  </si>
  <si>
    <t>Подогреватель пароводяной ПП1-71-2-2 (латунь), инв.№00250266</t>
  </si>
  <si>
    <t>График 2017 см. ниже</t>
  </si>
  <si>
    <t>"____"___________"2017г.</t>
  </si>
  <si>
    <t xml:space="preserve">График реализации инвестпрограммы "Электроснабжение 2017" </t>
  </si>
  <si>
    <t>(ГПП-3, 1 этап, реконструкция и подготовка к включению 4 секции 6 кВ)</t>
  </si>
  <si>
    <t>Ростсельмашэнерго</t>
  </si>
  <si>
    <t>Энергомонтаж-Дон</t>
  </si>
  <si>
    <t>Донпромэнерго</t>
  </si>
  <si>
    <t>Подготовка кабельных трасс Л-5, Л-49.</t>
  </si>
  <si>
    <t>Монтаж КЛ 6 кВ Л-5 от ЦРП до ГПП-3.</t>
  </si>
  <si>
    <t>Монтаж КЛ 6 кВ Л-49 от ЦРП до ГПП-3.</t>
  </si>
  <si>
    <t>Капирование КЛ в кабельном канале.</t>
  </si>
  <si>
    <t xml:space="preserve">Монтаж КЛ 0,4 кВ от ТП-120 и ТП-21 до ЩСН ГПП-3, замена фидерных автоматов на подстанциях (выполняется Заказчиком). </t>
  </si>
  <si>
    <t>Замена выключателя в яч 52 ГПП-3, в т.ч. наладка РЗА, ТО и испытания (оперативные цепи существующие).</t>
  </si>
  <si>
    <t>Сдача-приемка яч. 52.</t>
  </si>
  <si>
    <t>Замена выключателя в яч 56 ГПП-3, в т.ч. наладка РЗА, ТО и испытания (оперативные цепи существующие).</t>
  </si>
  <si>
    <t>Сдача-приемка яч. 56.</t>
  </si>
  <si>
    <t>Перевод КЛ и ТТ 6 кВ из яч. 53 в яч. 52.</t>
  </si>
  <si>
    <t>Перевод КЛ и ТТ 6 кВ из яч. 55 в яч. 56.</t>
  </si>
  <si>
    <t>Включение в работу 1Т 110 ГПП-3</t>
  </si>
  <si>
    <t>Перевод нагрузок Л-349 на Л-325.</t>
  </si>
  <si>
    <t>Отключение 2 секции 6 кВ.</t>
  </si>
  <si>
    <t xml:space="preserve">Демонтаж яч. 51, 53, 55. </t>
  </si>
  <si>
    <t>Включение 2 секции 6 кВ.</t>
  </si>
  <si>
    <t>Перевод нагрузок на Л-349 (по желанию Потребителя).</t>
  </si>
  <si>
    <t>Монтаж закладных труб в полу между секциями.</t>
  </si>
  <si>
    <t>Монтаж шкафов ЩСН, ШОТ и ТМ, перекрытие проемов после демонтажа ячеек.</t>
  </si>
  <si>
    <t>Монтаж и подключение к ЩСН УКП-4.</t>
  </si>
  <si>
    <t>Перевод нагрузок ТП-150, ТП-РП-1948 и РП-ЦАЛ от 1 секции ГПП-3 (до получения допуска от РТН на 4 секцию).</t>
  </si>
  <si>
    <t>Отключение 4 секции.</t>
  </si>
  <si>
    <t>Монтаж схемы ЦС в ячейке № 42 (бывший В-4).</t>
  </si>
  <si>
    <t>Монтаж и наладка проектной схемы оперативных цепей 4 секции.</t>
  </si>
  <si>
    <t>ТО и испытания ячеек 34, 38, 54, 58.</t>
  </si>
  <si>
    <t>ТО и испытания ячейки ТН-4.</t>
  </si>
  <si>
    <t>Регулировка вката ВЭ ячейки 48.</t>
  </si>
  <si>
    <t>Регулировка вката ВЭ ячеек 52, 56.</t>
  </si>
  <si>
    <t>ТО и испытания сборных шин 4 секции.</t>
  </si>
  <si>
    <t>Сдача-приемка, включение проектной схемы ЦС</t>
  </si>
  <si>
    <t>Перевод всех ячеек 4 секции на новые оперативные цепи (шинки смонтировать до рубильников в яч. СР) и ЦС, монтаж схемы ЛЗШ 4 секции.</t>
  </si>
  <si>
    <t>ТО РЗА ячеек 34, 38, 54, 58 и ТН-4 (выполняется Заказчиком).</t>
  </si>
  <si>
    <t>Наладка схем ЛЗШ, УРОВ 4 секции.</t>
  </si>
  <si>
    <t>Подготовка к включению 4 секции от Л-5 ГПП-1 (обеспечение аварийной готовности 4 секции, выполняется Заказчиком).</t>
  </si>
  <si>
    <t>Подготовка отчетных документов для получения допуска от РТН (техотчеты, сертификаты, акты скрытых работ и пр.)</t>
  </si>
  <si>
    <t>Формирование и отправка заявления в РТН</t>
  </si>
  <si>
    <t>Получение допуска от РТН на включение 4 секции.</t>
  </si>
  <si>
    <t>Главный инженер ООО "ФПГ "Донпромэнерго"</t>
  </si>
  <si>
    <t>А.Н. Кравченко</t>
  </si>
  <si>
    <t>Директор ООО "Энергомонтаж-Дон"</t>
  </si>
  <si>
    <t>Е.А. Шкондин</t>
  </si>
  <si>
    <t>Отчет по основным средствам ООО "Ростсельмашэнерго"</t>
  </si>
  <si>
    <t>за 2009 год</t>
  </si>
  <si>
    <t>Данные на начало периода</t>
  </si>
  <si>
    <t>За период</t>
  </si>
  <si>
    <t>Данные на конец периода</t>
  </si>
  <si>
    <t>Балансовая стоимость</t>
  </si>
  <si>
    <t xml:space="preserve">Амортизация </t>
  </si>
  <si>
    <t>Остаточная стоимость</t>
  </si>
  <si>
    <t>Изменение балансовой стоимости</t>
  </si>
  <si>
    <t>Изменение амортизации</t>
  </si>
  <si>
    <t>за  2010 год.</t>
  </si>
  <si>
    <t>за  2011 год.</t>
  </si>
  <si>
    <t>за  2012 год.</t>
  </si>
  <si>
    <t>за  2013 год.</t>
  </si>
  <si>
    <t>за  2014 год.</t>
  </si>
  <si>
    <t>за  2015 год.</t>
  </si>
  <si>
    <t>за  2016 год.</t>
  </si>
  <si>
    <t>п. 9 В-1</t>
  </si>
  <si>
    <t>Отчет по основным средствам (ВВОД)</t>
  </si>
  <si>
    <t>Отчет по основным средствам (ВЫБЫТИЕ)</t>
  </si>
  <si>
    <t>за период: 2009 г.</t>
  </si>
  <si>
    <t>Группировка  основных средств</t>
  </si>
  <si>
    <t>Наименование
основного средства</t>
  </si>
  <si>
    <t>Автодорожные площадки ГРП-2, инв.№00000450</t>
  </si>
  <si>
    <t>Водопровод от Север н/ст до корп, инв.№00083236</t>
  </si>
  <si>
    <t>Автомобиль ИЖ 27175-037 (М 984 ЕО 61), инв.№00250227</t>
  </si>
  <si>
    <t>Водопровод сырой воды от 34 линии, инв.№00083595</t>
  </si>
  <si>
    <t>Аккумуляторная батарея ГПП-1 70РzS490, инв.№00250238</t>
  </si>
  <si>
    <t>Газовый турбокомпрессор ТГ-150-1,14, инв.№00103574</t>
  </si>
  <si>
    <t>Водогрейная котельная с  газоходом (ПТВМ-30), инв.№00000482</t>
  </si>
  <si>
    <t>Газовый турбокомпрессор ТГ-150-1,14, инв.№00103575</t>
  </si>
  <si>
    <t>Выпрямитель сварочный ВДМ-6305, инв.№00250239</t>
  </si>
  <si>
    <t>КОМПРЕССОР К-500 (резерв ЦЗК), инв.№00028143</t>
  </si>
  <si>
    <t>Газоанализатор testo 330-2 LL.№0632 3305, инв.№00250230</t>
  </si>
  <si>
    <t>Компьютер 3319f356-0149, инв.№00250002</t>
  </si>
  <si>
    <t>ЗУ 3 889 кв.м. (ул.Менжинского, 2/1/13), инв.№00250228</t>
  </si>
  <si>
    <t>КОНД. ВОЗДУХООХЛАДИТЕЛЬ, инв.№00024268</t>
  </si>
  <si>
    <t>ЗУ 7519 кв. м (Белая Калитва, ул.Сельмашевская. 8), инв.№00250218</t>
  </si>
  <si>
    <t>КОНДЕНСАТОРНАЯ УСТАНОВКА УКЛ- 0,38, инв.№00092230</t>
  </si>
  <si>
    <t>Канализационно-насосная станция (часть объекта), инв.№00250242</t>
  </si>
  <si>
    <t>Насос 10НМК, инв.№00250219</t>
  </si>
  <si>
    <t>Комплекс по мех. обезвоживанию осадка ФПП-1000, инв.№00250241</t>
  </si>
  <si>
    <t>Насос 10НМК, инв.№00250220</t>
  </si>
  <si>
    <t>Компрессор вихревой VB-1200G, инв.№00250236</t>
  </si>
  <si>
    <t>Насос Гном, инв.№00106301</t>
  </si>
  <si>
    <t>Микроометр ИКС-5, инв.№00250229</t>
  </si>
  <si>
    <t>Силовой тр-р  ТМЗ-400  ТП-75, инв.№00092185</t>
  </si>
  <si>
    <t>МФУ Xerox Phaser 6110MFPX, инв.№00250233</t>
  </si>
  <si>
    <t>Силовые тр-ры  КПТ-1-400 ТП-75, инв.№00092184</t>
  </si>
  <si>
    <t>Насос КС 12-50 с 5,5х3000 Кат, инв.№00250232</t>
  </si>
  <si>
    <t>Счетчик газа RVG G-65 d-50, инв.№00250123</t>
  </si>
  <si>
    <t>Насос ХМЕ 2/30-К-55-У2, инв.№00250222</t>
  </si>
  <si>
    <t>ТРАНСФ.ТМЗ-1600/6    Э, инв.№00029974</t>
  </si>
  <si>
    <t>Ноутбук Sony VGN - SZ3, инв.№00250237</t>
  </si>
  <si>
    <t>ТУРБОКОМПРЕССОР К-250, инв.№00018869</t>
  </si>
  <si>
    <t>Преобразователь частотный ПЧ ТТПТ-315-380-50-02-М1, инв.№00250224</t>
  </si>
  <si>
    <t>ТУРБОКОМПРЕССОР К-250  ЦЗК №2, инв.№00018868</t>
  </si>
  <si>
    <t>Преобразователь частотный ПЧ ТТПТ-315-380-50-02-М1, инв.№00250223</t>
  </si>
  <si>
    <t>Резервуар кубан 2000 куб.м, инв.№00000348</t>
  </si>
  <si>
    <t>Сервер R-Style Marshall NP 2020 XE5450 4x1Gb 4x73G, инв.№00250234</t>
  </si>
  <si>
    <t>Сетевые подогреватели на ГПП-1, инв.№00250231</t>
  </si>
  <si>
    <t>Теплотрасса "Ника", инв.№00250235</t>
  </si>
  <si>
    <t>Термометр инфракрасный "RAYNGER" S 180, инв.№00250225</t>
  </si>
  <si>
    <t>Экономайзер БВЭС-V-I  (зав.№7512), инв.№00250226</t>
  </si>
  <si>
    <t>Эстакада под кранов.пути, инв.№00000206</t>
  </si>
  <si>
    <t>за 2010 год.</t>
  </si>
  <si>
    <t>Фактически  использовано</t>
  </si>
  <si>
    <t xml:space="preserve">1. </t>
  </si>
  <si>
    <t>Информация представлена в отдельной ссылке по адресу:</t>
  </si>
  <si>
    <r>
      <t xml:space="preserve">Наименование структурной единицы электросетевой сетевой организации </t>
    </r>
    <r>
      <rPr>
        <vertAlign val="superscript"/>
        <sz val="9"/>
        <rFont val="Times New Roman"/>
        <family val="1"/>
        <charset val="204"/>
      </rPr>
      <t>2</t>
    </r>
  </si>
  <si>
    <t>Диспетчерское наименование подстанции или ЛЭП, в результате отключения которой произошло прекращение передачи электроэнергии потребителям услуг</t>
  </si>
  <si>
    <t>Вид объекта (ПС, ЛЭП)</t>
  </si>
  <si>
    <t>Высший класс напряжения обесточенного оборудования, кВ</t>
  </si>
  <si>
    <r>
      <t>Причина прекращения передачи электрической энергии (1/0)</t>
    </r>
    <r>
      <rPr>
        <vertAlign val="superscript"/>
        <sz val="9"/>
        <rFont val="Times New Roman"/>
        <family val="1"/>
        <charset val="204"/>
      </rPr>
      <t>3</t>
    </r>
  </si>
  <si>
    <r>
      <t>Признак АПВ (1/0)</t>
    </r>
    <r>
      <rPr>
        <vertAlign val="superscript"/>
        <sz val="9"/>
        <rFont val="Times New Roman"/>
        <family val="1"/>
        <charset val="204"/>
      </rPr>
      <t>4</t>
    </r>
  </si>
  <si>
    <r>
      <t>Признак АВР (1/0)</t>
    </r>
    <r>
      <rPr>
        <vertAlign val="superscript"/>
        <sz val="9"/>
        <rFont val="Times New Roman"/>
        <family val="1"/>
        <charset val="204"/>
      </rPr>
      <t>5</t>
    </r>
  </si>
  <si>
    <t>Количество точек поставки, 
по которым произошло прекращение передачи электрической энергии, шт.</t>
  </si>
  <si>
    <t>Количество потребителей услуг (производители 
электрической энергии), в отношении которых произошло прекращение передачи электрической энергии, шт.</t>
  </si>
  <si>
    <t>0002901076</t>
  </si>
  <si>
    <t>Ручка гелевая черная</t>
  </si>
  <si>
    <t>0003704165</t>
  </si>
  <si>
    <t>Ручка шариковая синяя</t>
  </si>
  <si>
    <r>
      <t>2018 г.</t>
    </r>
    <r>
      <rPr>
        <sz val="10"/>
        <rFont val="Times New Roman"/>
        <family val="1"/>
        <charset val="204"/>
      </rPr>
      <t xml:space="preserve">
Замена трансформатора трансформатора №2 типа ТДН-25000/110 ГПП-1 на трансформатор типа ТРДН-40000/110, демонтируемый с ГПП-3, с проведением его капитального ремонта. Реконструкция схемы защит с возможностью подключения трансформатора к 1-ой и 2-ой секции шин 110 кВ; реконструкция силовых и вторичных цепей вводной ячейки 6 кВ трансформатора; реконструкция строительной части ОРУ-110 кВ ГПП-1 (фундамент, порталы).</t>
    </r>
  </si>
  <si>
    <r>
      <t>2019 г.</t>
    </r>
    <r>
      <rPr>
        <sz val="10"/>
        <rFont val="Times New Roman"/>
        <family val="1"/>
        <charset val="204"/>
      </rPr>
      <t xml:space="preserve">
Реконструкция схемы оперативного постоянного тока 0,23 кВ и схемы собственных нужд 0,4 кВ ГПП-1 с заменой зарядно-подзарядных устройств, а также шитов постоянного и переменного тока.</t>
    </r>
  </si>
  <si>
    <t>Срок реализации (квартал, год)</t>
  </si>
  <si>
    <t>1 квартал 2015г. – 4 квартал 2015г.</t>
  </si>
  <si>
    <t>1 квартал 2016г. – 4 квартал 2016г.</t>
  </si>
  <si>
    <t>1 квартал 2017г. – 4 квартал 2017г.</t>
  </si>
  <si>
    <t>1 квартал 2018г. – 4 квартал 2018г.</t>
  </si>
  <si>
    <t>1 квартал 2019г. – 4 квартал 2019г.</t>
  </si>
  <si>
    <t>Показатели инвестиционного проекта, в том числе показатели энергетической эффективности, единицы измерения</t>
  </si>
  <si>
    <t>На 2015 год</t>
  </si>
  <si>
    <t>На 2016 год</t>
  </si>
  <si>
    <t>На 2017 год</t>
  </si>
  <si>
    <t>На 2018 год</t>
  </si>
  <si>
    <t>На 2019 год</t>
  </si>
  <si>
    <t>Доля расхода (потерь) электрической энергии при ее передаче в сетях предприятия, % к отпуску в сеть</t>
  </si>
  <si>
    <t>Графики реализации инвестиционных проектов по строительству (реконструкции, модернизации и демонтажу) объектов электроэнергетики</t>
  </si>
  <si>
    <t>График 2015 см. ниже</t>
  </si>
  <si>
    <t>График 2016 см. ниже</t>
  </si>
  <si>
    <t>Отчетная информация о ходе реализации инвестиционного проекта (в отношении реализуемых инвестиционных проектов)</t>
  </si>
  <si>
    <t>Отчет</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</si>
  <si>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 МВт</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</si>
  <si>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 МВт</t>
  </si>
  <si>
    <t>Дата контрольного замерного дня</t>
  </si>
  <si>
    <t>Информация о максимальной мощности энергопринимающих устройств потребителей, присоединенных к объектам электросетевого хозяйства, реконструкция (модернизация, техническое перевооружение) которых предусматривается инвестиционным проектом, МВт</t>
  </si>
  <si>
    <t>СОГЛАСОВАНО:</t>
  </si>
  <si>
    <t>УТВЕРЖДАЮ:</t>
  </si>
  <si>
    <t>Главный инженер</t>
  </si>
  <si>
    <t>Первый заместитель</t>
  </si>
  <si>
    <t xml:space="preserve">Генерального директора - </t>
  </si>
  <si>
    <t>Исполнительный директор</t>
  </si>
  <si>
    <t>______________В.В. Бобриков</t>
  </si>
  <si>
    <t>______________М.Н. Рудик</t>
  </si>
  <si>
    <t>"____"___________"2014г.</t>
  </si>
  <si>
    <t>График реализации инвестпрограммы "Электроснабжение 2015"</t>
  </si>
  <si>
    <t>№п/п</t>
  </si>
  <si>
    <t>Мероприятие</t>
  </si>
  <si>
    <t>Начало</t>
  </si>
  <si>
    <t>Окончание</t>
  </si>
  <si>
    <t>Ориентировочная стоимость</t>
  </si>
  <si>
    <t>Стадия</t>
  </si>
  <si>
    <t>Примечание</t>
  </si>
  <si>
    <t>Разработка ТЗ проекта реконструкции ГПП-3 (перевод в режим РП-6кВ)</t>
  </si>
  <si>
    <t>Чалин</t>
  </si>
  <si>
    <t>Проектирование</t>
  </si>
  <si>
    <t>Разработка ТЗ проекта реконструкции ГПП-1 (замена Т2 и Т4 110 кВ)</t>
  </si>
  <si>
    <t>Разработка проекта реконструкции ГПП-3 (перевод в режим РП-6кВ)</t>
  </si>
  <si>
    <t>Разработка проекта реконструкции ГПП-1 (замена Т2 и Т4 110 кВ)</t>
  </si>
  <si>
    <t>Техосвидетельствование фундамента Р1</t>
  </si>
  <si>
    <t>Петров</t>
  </si>
  <si>
    <t>Поставка</t>
  </si>
  <si>
    <t>Техосвидетельствование фундамента Т4 ГПП-1</t>
  </si>
  <si>
    <t>Заключение договора на разработку проекта реконструкции ГПП-3 (перевод в режим РП-6кВ)</t>
  </si>
  <si>
    <t>Заключение договора на разработку проекта реконструкции ГПП-1 (замена Т2 и Т4 110 кВ)</t>
  </si>
  <si>
    <t>Поставка монтажных панелей 33Р и 34Р</t>
  </si>
  <si>
    <t>Поставка комплектации для панелей защиты и управления Р1 – реле, накладки, клеммники, блоки и т.п.</t>
  </si>
  <si>
    <t>Поставка приемопередатчика ПВЗУ-Е</t>
  </si>
  <si>
    <t>Поставка устройств защиты Сириус-3-ДФЗ и Сириус-3-ЛВ</t>
  </si>
  <si>
    <t>Поставка шкафов ШОВ-1 и ШЗВ-120 в комплектации согласно проекту.</t>
  </si>
  <si>
    <t>Поставка силовых, контрольных кабелей.</t>
  </si>
  <si>
    <t>Поставка коробов "ДКС" для монтажа кабелей в яч. Р1 на ОРУ-110</t>
  </si>
  <si>
    <t xml:space="preserve">Поставка ТМЦ для монтажа разъединителей, выключателя и трансформаторов тока 110 кВ (металлопрокат -швеллер, уголок, лист, круг, полоса и т.п.), в т.ч. стоек для ШР-110, ЛР-110 </t>
  </si>
  <si>
    <t>Поставка разъединителя РГП-110</t>
  </si>
  <si>
    <t>Поставка выключателя ВГП-110 и трансформаторов тока ТГФМ-110</t>
  </si>
  <si>
    <t>Заключить договор на шеф-монтаж ВГП и ТГФМ.</t>
  </si>
  <si>
    <t>Шеф-монтаж производителя ВГП и ТГФМ.</t>
  </si>
  <si>
    <t>Сообщить дату нашей готовности не менее чем за две недели.</t>
  </si>
  <si>
    <t>Поставка провода АС-240 и аппаратных зажимов для ошиновки оборудования 110 кВ</t>
  </si>
  <si>
    <t>Транспортные расходы</t>
  </si>
  <si>
    <t>Ремонт и нанесение антикоррозийного покрытия на металлоконструкции ОРУ-110кВ подстанции 110/6кВ ГПП-1 1,2с</t>
  </si>
  <si>
    <t>СМР</t>
  </si>
  <si>
    <t>Подготовка каркасов панелей защиты (покраска, монтаж рядов клеммных зажимов и креплений приемопередатчика)</t>
  </si>
  <si>
    <t>Сиволодский</t>
  </si>
  <si>
    <t>РЗА</t>
  </si>
  <si>
    <t>Подготовка релейной аппаратуры к монтажу на панелях защиты (ревизия, индивидуальные испытания)</t>
  </si>
  <si>
    <t>Монтаж релейной аппаратуры на будущих панелях 33Р и 34Р</t>
  </si>
  <si>
    <t>Монтаж схемы вторичных цепей на будущих панелях 33Р и 34Р</t>
  </si>
  <si>
    <t>Индивидуальные испытания будущих панелей 33Р и 34Р</t>
  </si>
  <si>
    <t xml:space="preserve">Подключение кабелей в ШОВ-1 и ШЗВ-120 Р1. </t>
  </si>
  <si>
    <t>30.04.2015.</t>
  </si>
  <si>
    <t>15.05.2015.</t>
  </si>
  <si>
    <t>Демонтаж действующих панелей защит и аппаратуры на панели управления Р1</t>
  </si>
  <si>
    <t xml:space="preserve">
стоимостных, технических, количественных и иных показателей технологических решений капитального строительства введенных в эксплуатацию объектов электроэнергетики, соответствующих типовым технологическим решениям капитального строительства объектов электроэнергетики, в отношении которых Министерством энергетики Российской Федерации установлены укрупненные нормативы цены;
</t>
  </si>
  <si>
    <t>значений количественных показателей инвестиционной программы и достигнутых результатов в части, касающейся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t>
  </si>
  <si>
    <t xml:space="preserve">
отчет о выполненных закупках товаров, работ и услуг для реализации утвержденной инвестиционной программы с распределением по каждому инвестиционному проекту;
</t>
  </si>
  <si>
    <t>отчет об исполнении финансового плана субъекта электроэнергетики;</t>
  </si>
  <si>
    <t>паспорта инвестиционных проектов, содержащие информацию, предусмотренную пунктом 11(8) настоящего документа, по состоянию на отчетную дату;</t>
  </si>
  <si>
    <t xml:space="preserve">
заключение по результатам проведения технологического и ценового аудита отчета о реализации инвестиционной программы (при наличии такового), выполненное в соответствии с методическими рекомендациями, предусмотренными пунктом 5 постановления Правительства Российской Федерации от 16 февраля 2015 г. N 132 "О внесении изменений в некоторые акты Правительства Российской Федерации по вопросам утверждения инвестиционных программ субъектов электроэнергетики и контроля за их реализацией";</t>
  </si>
  <si>
    <t>з</t>
  </si>
  <si>
    <t>о способах приобретения, стоимости и объемах товаров, необходимых для оказания услуг по передаче электроэнергии, включая информацию:</t>
  </si>
  <si>
    <t>о корпоративных правилах осуществления закупок (включая использование конкурсов, аукционов);</t>
  </si>
  <si>
    <t>Начальник ССиЛ</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</si>
  <si>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</si>
  <si>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Печь микроволновая</t>
  </si>
  <si>
    <t>Чайник электрический</t>
  </si>
  <si>
    <t>Единица</t>
  </si>
  <si>
    <t>03</t>
  </si>
  <si>
    <t>Измеритель параметров изоляции "Тангенс-2000"</t>
  </si>
  <si>
    <t>Комплект</t>
  </si>
  <si>
    <t xml:space="preserve">Разработка пректной документации по выносу из земли на территории ОРУ-6 кВ КЛ-6 кВ Л-27 и Л-29 </t>
  </si>
  <si>
    <t>Разработка пректной документации по прокладке КЛ-6 кВ Л-16 и Л-50 под проезжей частью ул. 50 лет Ростсельмаш методом прокола.</t>
  </si>
  <si>
    <t>Капитальный ремонт токарно-винторезного станка 1К62</t>
  </si>
  <si>
    <t>Техническое диагностирование подогревателя химочищенной воды деаэраторов подпитки теплосети ст.№ 1 рег. № 10.12/ЭА</t>
  </si>
  <si>
    <t>Техническое диагностирование подогревателя химочищенной воды деаэраторов подпитки теплосети ст.№ 2 рег. № 11.12/ЭА</t>
  </si>
  <si>
    <t>ТО (НО) главного паропровода ТЭЦ котлов №№ 1-7 рег. № 74.11/Т</t>
  </si>
  <si>
    <t>Техническое диагностирование паропровода котлов ст.№ 8,9; РОУ-1,2,3 IV кат. рег. № 172/Т</t>
  </si>
  <si>
    <t>Техническое диагностирование паропровода мазутного хозяйства IV кат. рег. № 03.09/ЭТ</t>
  </si>
  <si>
    <t>ЭПБ мазутного резервуара № 2</t>
  </si>
  <si>
    <t xml:space="preserve"> Расчет значений показателя качества обслуживания потребителей услуг территориальными сетевыми организациями</t>
  </si>
  <si>
    <t>Время и дата устранения технологического нарушения на объектах данной сетевой организации (часы, минуты, ГГГГ.ММ.ДД)</t>
  </si>
  <si>
    <t>Время и дата восстановления режима потребления электрической энергии потребителей услуг (часы, минуты, ГГГГ.ММ.ДД)</t>
  </si>
  <si>
    <t>Продолжительность прекращения передачи электрической энергии, час.</t>
  </si>
  <si>
    <r>
      <t xml:space="preserve">Суммарный объем фактической нагрузки (мощности)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t>
    </r>
    <r>
      <rPr>
        <vertAlign val="superscript"/>
        <sz val="9"/>
        <rFont val="Times New Roman"/>
        <family val="1"/>
        <charset val="204"/>
      </rPr>
      <t>6</t>
    </r>
    <r>
      <rPr>
        <sz val="9"/>
        <rFont val="Times New Roman"/>
        <family val="1"/>
        <charset val="204"/>
      </rPr>
      <t>, МВт</t>
    </r>
  </si>
  <si>
    <t>Наименование документа первичной информации (акт расследования, журнал отключений и т.п.)</t>
  </si>
  <si>
    <t>Реквизиты документа первичной информации (акта расследования технологического нарушения (аварии) или иного документа (номер и дата записи в журнале отключений)</t>
  </si>
  <si>
    <t>Потребители электрической энергии</t>
  </si>
  <si>
    <t>Электросетевые организации</t>
  </si>
  <si>
    <t>Производители электрической энергии</t>
  </si>
  <si>
    <t>Всего (сумма граф 9 - 15)</t>
  </si>
  <si>
    <t>Всего (сумма граф 25 - 27)</t>
  </si>
  <si>
    <t>1 категории надежности</t>
  </si>
  <si>
    <t>2 категории надежности</t>
  </si>
  <si>
    <t>3 категории надежности</t>
  </si>
  <si>
    <t>с максимальной мощностью до 150 кВт</t>
  </si>
  <si>
    <t>с максимальной мощностью от 150 до 670 кВт</t>
  </si>
  <si>
    <t>с максимальной мощностью свыше 670 кВт</t>
  </si>
  <si>
    <t>Всего (сумма граф 17 - 21)</t>
  </si>
  <si>
    <t>полное</t>
  </si>
  <si>
    <t>частичное</t>
  </si>
  <si>
    <t>ТП-10</t>
  </si>
  <si>
    <t>ПС</t>
  </si>
  <si>
    <t>6 кВ</t>
  </si>
  <si>
    <t>08ч. 50м, 2016.01.08.</t>
  </si>
  <si>
    <t>19ч. 15м, 2016.01.08.</t>
  </si>
  <si>
    <t>акт расследования</t>
  </si>
  <si>
    <t>№ 1 2016.01.11.</t>
  </si>
  <si>
    <t>10 ч. 25 м.</t>
  </si>
  <si>
    <t>ТП-102</t>
  </si>
  <si>
    <t>10ч. 30м, 2016.01.10.</t>
  </si>
  <si>
    <t>18ч. 35м, 2016.01.10.</t>
  </si>
  <si>
    <t>12ч. 25м, 2016.01.10.</t>
  </si>
  <si>
    <t>№ 2 2016.01.11.</t>
  </si>
  <si>
    <t>1 ч. 55 м.</t>
  </si>
  <si>
    <t>ТП-17</t>
  </si>
  <si>
    <t>12ч. 38м, 2016.01.10.</t>
  </si>
  <si>
    <t>2 ч. 08 м.</t>
  </si>
  <si>
    <t>ТП-143</t>
  </si>
  <si>
    <t>13ч. 12м, 2016.01.10.</t>
  </si>
  <si>
    <t>2 ч. 42 м.</t>
  </si>
  <si>
    <t>ТП-5</t>
  </si>
  <si>
    <t>8 ч. 05 м.</t>
  </si>
  <si>
    <t>Л-1, Л-3, Л-5, Л-6, Л-7, Л-10, Л-11, Л-14, Л-16, Л-21, Л-24, Л-25, Л-26, Л-29, Л-32, Л-39, Л-40</t>
  </si>
  <si>
    <t>ЛЭП</t>
  </si>
  <si>
    <t>14ч. 52м, 2016.05.17.</t>
  </si>
  <si>
    <t>15ч. 04м, 2016.05.17.</t>
  </si>
  <si>
    <t>№ 6 2016.06.02.</t>
  </si>
  <si>
    <t>12 м.</t>
  </si>
  <si>
    <t>Л-53</t>
  </si>
  <si>
    <t>18ч. 51м, 2016.06.22.</t>
  </si>
  <si>
    <t>19ч. 12м, 2016.06.22.</t>
  </si>
  <si>
    <t>№ 8 2016.07.04.</t>
  </si>
  <si>
    <t>21 м.</t>
  </si>
  <si>
    <t>ТП-123</t>
  </si>
  <si>
    <t>15ч. 44м, 2016.06.22.</t>
  </si>
  <si>
    <t>17ч. 30м, 2016.06.22.</t>
  </si>
  <si>
    <t>№ 9 2016.07.04.</t>
  </si>
  <si>
    <t>1 ч. 46 м.</t>
  </si>
  <si>
    <t>ТП-13 Т2, ТП-1834 Т2, ТП-1835 Т2</t>
  </si>
  <si>
    <t>10ч. 34м, 2016.07.18.</t>
  </si>
  <si>
    <t>10ч. 57м, 2016.07.18.</t>
  </si>
  <si>
    <t>№ 11 2016.07.27.</t>
  </si>
  <si>
    <t>23 м.</t>
  </si>
  <si>
    <t>ТП-1 Т2</t>
  </si>
  <si>
    <t>11ч. 00м, 2016.07.18.</t>
  </si>
  <si>
    <t>26 м.</t>
  </si>
  <si>
    <t>Л-34</t>
  </si>
  <si>
    <t>11ч. 19м, 2016.12.18.</t>
  </si>
  <si>
    <t>11ч. 42м, 2016.12.18.</t>
  </si>
  <si>
    <t>№ 13 2016.12.28.</t>
  </si>
  <si>
    <t xml:space="preserve">&lt;1&gt;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 то форма заполняется отдельно по каждому такому восстановлению.
&lt;2&gt; Указываются наименования производственных отделений или предприятий электрических сетей.
&lt;3&gt; "0" для случаев, подпадающих под исключения, указанные в абзаце 3 пункта 2.1 настоящих методических указаний, "1" - не подпадающих.
&lt;4&gt; "1" ставится, когда АПВ успешное, а "0" - не успешное.
&lt;5&gt; "1" ставится, когда АВР успешен, "0" - не успешен.
&lt;6&gt; Заполняется только организацией по управлению единой национальной (общероссийской) электрической сетью.
</t>
  </si>
  <si>
    <t xml:space="preserve">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t>
  </si>
  <si>
    <t>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</si>
  <si>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за 2016 г.</t>
  </si>
  <si>
    <t>Информация :</t>
  </si>
  <si>
    <t>08.02.2015 16 ч 14 мин</t>
  </si>
  <si>
    <t>№ 1 2015.02.09.</t>
  </si>
  <si>
    <t>за 2015 г.</t>
  </si>
  <si>
    <t>№80/22 от 29.12.2016 г.</t>
  </si>
  <si>
    <t>номер</t>
  </si>
  <si>
    <t>Электрооборудование ячейки ВЛ-110кВ Р4РСМ 2 цепь ГПП-1, инв.№08707911</t>
  </si>
  <si>
    <t>за 2013 год.</t>
  </si>
  <si>
    <t>Автомобиль ИЖ 27175-037 (М 984 ЕО 61)</t>
  </si>
  <si>
    <t>Компьютер CEL 2267/256/40</t>
  </si>
  <si>
    <t>ГРП-S-15,1</t>
  </si>
  <si>
    <t>Компьютер CityLine Giga Е09 С1.8/256/40</t>
  </si>
  <si>
    <t>ГРП-S-41,6</t>
  </si>
  <si>
    <t>Компьютер OfficeC MS-661 2667/80/256/CD-ROM</t>
  </si>
  <si>
    <t>ЗУ 7638 кв.м.-537/10000 доли (ул.50-летия Ростсельмаша, 2-6/22)</t>
  </si>
  <si>
    <t>Компьютер Sempron 2/6/К8М800/256/НDD-80/SVGA/DVD-R</t>
  </si>
  <si>
    <t>Котел паровой №3 Де-25-24-380 ГМ-О</t>
  </si>
  <si>
    <t>Насос ЦНК-80/200-190-30/2-400 с э. дв. 30кВт</t>
  </si>
  <si>
    <t>Насосная станция оборотного водоснабжения  № 3</t>
  </si>
  <si>
    <t>Насосная станция Северо-Восточного водопров.</t>
  </si>
  <si>
    <t>Насосный агрегат с трубной обвязкой и коммутационной аппаратурой</t>
  </si>
  <si>
    <t>Подогреватель ПП2-11,4-0,2-2 № 3</t>
  </si>
  <si>
    <t>Подогреватель ПП2-11,4-0,2-2 № 4</t>
  </si>
  <si>
    <t>Спектрофотометр UNICO-1201</t>
  </si>
  <si>
    <t>2.2.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процентов от общего количества поступивших обращений</t>
  </si>
  <si>
    <t>а) регламенты оказания услуг и рассмотрения обращений заявителей и потребителей услуг, шт.</t>
  </si>
  <si>
    <t>б) для остальных потребителей услуг, дней</t>
  </si>
  <si>
    <t>2.3. Количество обращений, связанных с неудовлетворенностью принятыми мерами, указанными в п. 2.2 настоящей формы, поступивших от потребителей услуг в течение 30 рабочих дней после завершения мероприятий, указанных в п. 2.2 настоящей формы, процентов от о</t>
  </si>
  <si>
    <t>Показатель</t>
  </si>
  <si>
    <t>Значение показателя, годы:</t>
  </si>
  <si>
    <t>б) наличие положения о деятельности структурного подразделения по работе с заявителями и потребителями услуг (наличие - 1, отсутствие - 0), шт.</t>
  </si>
  <si>
    <t>1.3. Количество случаев отказа от заключения и случаев расторжения потребителем услуг договоров оказания услуг по передаче электрической энергии, процентов от общего количества заключенных территориальной сетевой организацией договоров с потребителями усл</t>
  </si>
  <si>
    <t>2.4. Количество обращений потребителей услуг с указанием на ненадлежащее качество услуг, оказываемых территориальной сетевой организацией, поступивших в соответствующий контролирующий орган исполнительной власти, процентов от общего количества поступивших</t>
  </si>
  <si>
    <t>Предлагаемые плановые значения параметров (критериев), характеризующих индикаторы качества &lt;10&gt;</t>
  </si>
  <si>
    <t>в) должностные инструкции сотрудников, обслуживающих заявителей и потребителей услуг, шт.</t>
  </si>
  <si>
    <t>2. Соблюдение требований нормативных правовых актов Российской Федерации по поддержанию качества электрической энергии, по критерию</t>
  </si>
  <si>
    <r>
      <t xml:space="preserve">20) Тариф на передачу электроэнергии (мощности) по сетям ООО «Ростсельмашэнерго» </t>
    </r>
    <r>
      <rPr>
        <b/>
        <sz val="11"/>
        <color indexed="8"/>
        <rFont val="Calibri"/>
        <family val="2"/>
        <charset val="204"/>
      </rPr>
      <t>с 01.01.2018 г по 30.06.2018 г</t>
    </r>
    <r>
      <rPr>
        <sz val="11"/>
        <color theme="1"/>
        <rFont val="Calibri"/>
        <family val="2"/>
        <charset val="204"/>
        <scheme val="minor"/>
      </rPr>
      <t xml:space="preserve">
Одноставочный тариф: 
- 0,41022 руб./кВт*ч 
Двухставочный тариф: 
- Ставка на оплату технологических потерь 0,1348 руб./кВт*ч 
- Ставка на содержание сетей 57,34651 руб./кВт*мес 
установленного Постановлением РСТ Ростовской области от 25.12.2014 г. № 85/3 с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 постановлением РСТ РО от 10.11.2016 № 58/1; источник официального опубликования решения: Официальный портал правовой информации РО pravo.donland.ru от 21.11.2016 № 6145201611210012, постановлением РСТ РО от 05.12.2017 № 68/1; источник официального опубликования решения: Официальный портал правовой информации РО pravo.donland.ru от 13.12.2017 № 6145201712130031</t>
    </r>
  </si>
  <si>
    <r>
      <t xml:space="preserve">21) Тариф на передачу электроэнергии (мощности) по сетям ООО «Ростсельмашэнерго» </t>
    </r>
    <r>
      <rPr>
        <b/>
        <sz val="11"/>
        <color indexed="8"/>
        <rFont val="Calibri"/>
        <family val="2"/>
        <charset val="204"/>
      </rPr>
      <t>с 01.07.2018 г по 31.12.2018 г</t>
    </r>
    <r>
      <rPr>
        <sz val="11"/>
        <color theme="1"/>
        <rFont val="Calibri"/>
        <family val="2"/>
        <charset val="204"/>
        <scheme val="minor"/>
      </rPr>
      <t xml:space="preserve">
Одноставочный тариф: 
- 0,41022 руб./кВт*ч 
Двухставочный тариф: 
- Ставка на оплату технологических потерь 0,1348 руб./кВт*ч 
- Ставка на содержание сетей 55,52875 руб./кВт*мес 
установленного Постановлением РСТ Ростовской области от 25.12.2014 г. № 85/3 с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 постановлением РСТ РО от 10.11.2016 № 58/1; источник официального опубликования решения: Официальный портал правовой информации РО pravo.donland.ru от 21.11.2016 № 6145201611210012, постановлением РСТ РО от 05.12.2017 № 68/1; источник официального опубликования решения: Официальный портал правовой информации РО pravo.donland.ru от 13.12.2017 № 6145201712130031</t>
    </r>
  </si>
  <si>
    <t>Договорные объемы услуг по передаче электрической энергии (мощности) на 2014 год</t>
  </si>
  <si>
    <t>МКП "Ростгорсвет" (отдача)</t>
  </si>
  <si>
    <t>д) проверка выполнения заявителем и сетевой организацией технических условий в соответствии с разделом IX «Правил технологического присоединения энергопринимающих устройств потребителей,,,», а также допуск к эксплуатации установленного в процессе технологического присоединения прибора учета электрической энергии, включающий составление акта допуска прибора учета к эксплуатации в порядке, предусмотренном Основными положениями функционирования розничных рынков электрической энергии;</t>
  </si>
  <si>
    <t>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 (раскрывается организацией по управлению единой национальной (общероссийской) электрической сетью);</t>
  </si>
  <si>
    <t>паспорта инвестиционных проектов, предусмотренных инвестиционной программой (проектом инвестиционной программы), содержащие информацию, предусмотренную пунктом 11(8) настоящего документа;</t>
  </si>
  <si>
    <t>значения целевых показателей для целей формирования инвестиционной программы, установленные в порядке, утвержденном Министерством энергетики Российской Федерации;</t>
  </si>
  <si>
    <t xml:space="preserve">материалы, обосновывающие стоимость инвестиционных проектов, предусмотренных инвестиционной программой (проектом инвестиционной программы), в том числе пояснительную записку, сметные расчеты и иные документы и расчеты, которые, по мнению сетевой организации, могут служить обоснованием стоимости указанных инвестиционных проектов;
программу научно-исследовательских и (или) опытно-конструкторских работ на период реализации инвестиционной программы (проекта инвестиционной программы) с распределением по годам и описанием содержания работ (при наличии таковой);
</t>
  </si>
  <si>
    <t xml:space="preserve">
копию решения об одобрении проекта инвестиционной программы советом директоров (наблюдательным советом) сетевой организации, а при отсутствии совета директоров (наблюдательного совета) - коллегиальным (единоличным) исполнительным органом управления или иным уполномоченным органом сетевой организации (не раскрывается при опубликовании информации о проекте инвестиционной программы в случаях, если сроки раскрытия такой информации в соответствии с пунктом 12 настоящего документа предусмотрены Правилами утверждения инвестиционных программ субъектов электроэнергетики, утвержденными постановлением Правительства Российской Федерации от 1 декабря 2009 г. N 977 "Об инвестиционных программах субъектов электроэнергетики" (далее - Правила утверждения инвестиционных программ субъектов электроэнергетики);</t>
  </si>
  <si>
    <t>График реализации инвестпрограммы "Электроснабжение 2016" (реконструкция ГВ-1)</t>
  </si>
  <si>
    <t>Техосвидетельствование фундамента ГВ1</t>
  </si>
  <si>
    <t>Поставка комплектации для панелей защиты и управления ГВ1 – реле, накладки, клеммники, блоки и т.п.</t>
  </si>
  <si>
    <t>Поставка коробов "ДКС" для монтажа кабелей в яч. ГВ1 на ОРУ-110</t>
  </si>
  <si>
    <t>Подготовка каркаса панели защиты 32РА (покраска, монтаж рядов клеммных зажимов)</t>
  </si>
  <si>
    <t>Проверка Сириуса и подготовка релейной аппаратуры к монтажу на панели 32РА (ревизия, индивидуальные испытания)</t>
  </si>
  <si>
    <t>Монтаж релейной аппаратуры на панели 32РА</t>
  </si>
  <si>
    <t>Монтаж схемы вторичных цепей на панели 32РА</t>
  </si>
  <si>
    <t>Индивидуальные испытания панели 32РА, с подачей сигналов на клеммник панели.</t>
  </si>
  <si>
    <t>Монтаж кабельной трассы от яч. Р1 до яч. ГВ1</t>
  </si>
  <si>
    <t>Прокладка кабелей от ШЗВ и ШОВ ГВ1 до панелей 32РА и ШОВ, ШЗВ Р1.</t>
  </si>
  <si>
    <t xml:space="preserve">Подключение кабелей в ШОВ-1 и ШЗВ-120 ГВ1 и на панели 32РА. </t>
  </si>
  <si>
    <t>Прокладка кабельных перемычек между панелями защиты, управления, УРОВ и ДЗШ (без подключения).</t>
  </si>
  <si>
    <t>Индивидуальные испытания панели 32РА с подачей сигналов из ШЗВ.</t>
  </si>
  <si>
    <t>Сборка разъединителей РГНП-110, подготовка к монтажу.</t>
  </si>
  <si>
    <t>Монтаж стоек ШР и ЛР ГВ-1</t>
  </si>
  <si>
    <t>Подготовка закладных деталей для монтажа консоли ВГП на раме.</t>
  </si>
  <si>
    <t>26а</t>
  </si>
  <si>
    <r>
      <t xml:space="preserve">2) Тариф на передачу электроэнергии (мощности) по сетям ООО «Ростсельмашэнерго» в </t>
    </r>
    <r>
      <rPr>
        <b/>
        <sz val="11"/>
        <color indexed="8"/>
        <rFont val="Calibri"/>
        <family val="2"/>
        <charset val="204"/>
      </rPr>
      <t>2009г</t>
    </r>
    <r>
      <rPr>
        <sz val="11"/>
        <color theme="1"/>
        <rFont val="Calibri"/>
        <family val="2"/>
        <charset val="204"/>
        <scheme val="minor"/>
      </rPr>
      <t xml:space="preserve">
- Ставка на оплату технологических потерь </t>
    </r>
    <r>
      <rPr>
        <b/>
        <sz val="11"/>
        <color indexed="8"/>
        <rFont val="Calibri"/>
        <family val="2"/>
        <charset val="204"/>
      </rPr>
      <t>43,3</t>
    </r>
    <r>
      <rPr>
        <sz val="11"/>
        <color theme="1"/>
        <rFont val="Calibri"/>
        <family val="2"/>
        <charset val="204"/>
        <scheme val="minor"/>
      </rPr>
      <t xml:space="preserve"> руб./МВт*ч 
- Ставка на содержание сетей </t>
    </r>
    <r>
      <rPr>
        <b/>
        <sz val="11"/>
        <color indexed="8"/>
        <rFont val="Calibri"/>
        <family val="2"/>
        <charset val="204"/>
      </rPr>
      <t>48 590</t>
    </r>
    <r>
      <rPr>
        <sz val="11"/>
        <color theme="1"/>
        <rFont val="Calibri"/>
        <family val="2"/>
        <charset val="204"/>
        <scheme val="minor"/>
      </rPr>
      <t xml:space="preserve"> руб./МВт*мес 
установленного Постановлением РСТ Ростовской области от 17.12.2010 г. № 13/4; источник официального опубликования решения: http://rst.donland.ru 
Размер платы за технологическое присоединение осуществляется по индивидуальному тарифу устанавливаемому РСТ РО.</t>
    </r>
  </si>
  <si>
    <r>
      <t xml:space="preserve">3) Тариф на передачу электроэнергии (мощности) по сетям ООО «Ростсельмашэнерго» в </t>
    </r>
    <r>
      <rPr>
        <b/>
        <sz val="11"/>
        <color indexed="8"/>
        <rFont val="Calibri"/>
        <family val="2"/>
        <charset val="204"/>
      </rPr>
      <t>2010г</t>
    </r>
    <r>
      <rPr>
        <sz val="11"/>
        <color theme="1"/>
        <rFont val="Calibri"/>
        <family val="2"/>
        <charset val="204"/>
        <scheme val="minor"/>
      </rPr>
      <t xml:space="preserve">
- Ставка на оплату технологических потерь </t>
    </r>
    <r>
      <rPr>
        <b/>
        <sz val="11"/>
        <color indexed="8"/>
        <rFont val="Calibri"/>
        <family val="2"/>
        <charset val="204"/>
      </rPr>
      <t>51,24</t>
    </r>
    <r>
      <rPr>
        <sz val="11"/>
        <color theme="1"/>
        <rFont val="Calibri"/>
        <family val="2"/>
        <charset val="204"/>
        <scheme val="minor"/>
      </rPr>
      <t xml:space="preserve"> руб./МВт*ч 
- Ставка на содержание сетей </t>
    </r>
    <r>
      <rPr>
        <b/>
        <sz val="11"/>
        <color indexed="8"/>
        <rFont val="Calibri"/>
        <family val="2"/>
        <charset val="204"/>
      </rPr>
      <t>50 002,9</t>
    </r>
    <r>
      <rPr>
        <sz val="11"/>
        <color theme="1"/>
        <rFont val="Calibri"/>
        <family val="2"/>
        <charset val="204"/>
        <scheme val="minor"/>
      </rPr>
      <t xml:space="preserve"> руб./МВт*мес 
установленного Постановлением РСТ Ростовской области от 29.12.2010 г. № 16/5; источник официального опубликования решения: http://rst.donland.ru 
Размер платы за технологическое присоединение осуществляется по индивидуальному тарифу устанавливаемому РСТ РО.</t>
    </r>
  </si>
  <si>
    <t>Шефмонтаж ВГП-110 и ТГФМ-110</t>
  </si>
  <si>
    <t>Разъединитель РГНП</t>
  </si>
  <si>
    <t>http://zakupki.gov.ru/223/purchase/public/purchase/info/common-info.html?noticeId=2848807&amp;epz=true&amp;style44=false</t>
  </si>
  <si>
    <t>Приемопередатчик ВЧ-Защиты ПВЗУ-Е</t>
  </si>
  <si>
    <t>http://zakupki.gov.ru/223/purchase/public/purchase/info/common-info.html?noticeId=223896&amp;epz=true&amp;style44=false</t>
  </si>
  <si>
    <t>Диагностика Т2 ГПП-3</t>
  </si>
  <si>
    <t>http://zakupki.gov.ru/223/purchase/public/purchase/info/common-info.html?noticeId=2619906&amp;epz=true&amp;style44=false</t>
  </si>
  <si>
    <t>Диагностика Т1 ГПП-3</t>
  </si>
  <si>
    <t>http://zakupki.gov.ru/223/purchase/public/purchase/info/common-info.html?noticeId=2872984&amp;epz=true&amp;style44=false</t>
  </si>
  <si>
    <t>http://zakupki.gov.ru/223/purchase/public/purchase/info/common-info.html?noticeId=2873089&amp;epz=true&amp;style44=false</t>
  </si>
  <si>
    <t>Устройство защиты "Сириус-3-ЛВ-03-220В" ТУ 4222-032-17326295</t>
  </si>
  <si>
    <t>http://zakupki.gov.ru/223/purchase/public/purchase/info/common-info.html?noticeId=2796282&amp;epz=true&amp;style44=false</t>
  </si>
  <si>
    <t>Ссылка на сайт гос.закупок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</si>
  <si>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 xml:space="preserve">http://zakupki.gov.ru/epz/order/quicksearch/search_eis.html?searchString=%D0%A0%D0%BE%D1%81%D1%82%D1%81%D0%B5%D0%BB%D1%8C%D0%BC%D0%B0%D1%88%D1%8D%D0%BD%D0%B5%D1%80%D0%B3%D0%BE&amp;morphology=on&amp;pageNumber=1&amp;sortDirection=false&amp;recordsPerPage=_10&amp;showLotsInfoHidden=false&amp;fz223=on&amp;af=on&amp;ca=on&amp;pc=on&amp;regions=&amp;priceFrom=&amp;priceTo=&amp;currencyId=1&amp;publishDateFrom=&amp;publishDateTo=&amp;updateDateFrom=&amp;updateDateTo=&amp;sortBy=UPDATE_DATE
</t>
  </si>
  <si>
    <t>Наименование работ</t>
  </si>
  <si>
    <t>Период выполнения 2013 г.</t>
  </si>
  <si>
    <t>янв</t>
  </si>
  <si>
    <t>фев</t>
  </si>
  <si>
    <t>мар</t>
  </si>
  <si>
    <t>апр</t>
  </si>
  <si>
    <t>июн</t>
  </si>
  <si>
    <t>июл</t>
  </si>
  <si>
    <t>авг</t>
  </si>
  <si>
    <t>сен</t>
  </si>
  <si>
    <t>окт</t>
  </si>
  <si>
    <t>ноя</t>
  </si>
  <si>
    <t>дек</t>
  </si>
  <si>
    <t>1</t>
  </si>
  <si>
    <t>Замена масляных выключателей ВМГ-133 Л-16, 19, 24 ПС 110/6кВ ГПП-1 на ВВ/ТЭЛ.</t>
  </si>
  <si>
    <t>2</t>
  </si>
  <si>
    <t>Ремонт кровли здания подстанции 110/6кВ ГПП-4</t>
  </si>
  <si>
    <t>3</t>
  </si>
  <si>
    <t>Помещения ЭТЛ и ЦЭ</t>
  </si>
  <si>
    <t>Замена оконных блоков помещений ЭТЛ, ЦЭ</t>
  </si>
  <si>
    <t>4</t>
  </si>
  <si>
    <t>Помещения ЭТЛ</t>
  </si>
  <si>
    <t>Замена оконного блока помещения ЭТЛ</t>
  </si>
  <si>
    <t>5</t>
  </si>
  <si>
    <t>Капитальный ремонт без смены обмоток трансформатора 110/6 ТРДЦН-110/63000 подстанции ГПП-1</t>
  </si>
  <si>
    <t>6</t>
  </si>
  <si>
    <t>Усиление строительных конструкций здания ЗРУ-6-3 подстанции 110/6кВ ГПП-1</t>
  </si>
  <si>
    <t>Техническое освидетельствование и оценка технического состояния строительных конструкций здания подстанции 110/6кВ ГПП-4. 24*30м. Н-10м.</t>
  </si>
  <si>
    <t>Техническое освидетельствование и оценка технического состояния строительных конструкций здания распределительных устройств ЗРУ-6-1, ЗРУ-6-2 подстанции 110/6кВ ГПП-1. 100*16м. Н-9м.</t>
  </si>
  <si>
    <t xml:space="preserve">выставляется при значении величины графы 4 форм 2.1 - 2.3 приложения N 2 к настоящим методическим указаниям менее 80% в случае прямой зависимости от значения величины графы 2 форм 2.1 - 2.3 </t>
  </si>
  <si>
    <t>приложения N 2 к настоящим методическим указаниям, а также при значении величины графы 4 больше 120% в случае обратной зависимости от значения величины графы 2 форм 2.1 - 2.3 приложения N 2 к настоящим методическим указаниям;</t>
  </si>
  <si>
    <r>
      <t xml:space="preserve">оценка, равная 2 баллам (по </t>
    </r>
    <r>
      <rPr>
        <sz val="10"/>
        <color indexed="12"/>
        <rFont val="Arial"/>
        <family val="2"/>
        <charset val="204"/>
      </rPr>
      <t>пунктам 1</t>
    </r>
    <r>
      <rPr>
        <sz val="10"/>
        <rFont val="Arial"/>
        <family val="2"/>
        <charset val="204"/>
      </rPr>
      <t xml:space="preserve">, </t>
    </r>
    <r>
      <rPr>
        <sz val="10"/>
        <color indexed="12"/>
        <rFont val="Arial"/>
        <family val="2"/>
        <charset val="204"/>
      </rPr>
      <t>2</t>
    </r>
    <r>
      <rPr>
        <sz val="10"/>
        <rFont val="Arial"/>
        <family val="2"/>
        <charset val="204"/>
      </rPr>
      <t xml:space="preserve"> и </t>
    </r>
    <r>
      <rPr>
        <sz val="10"/>
        <color indexed="12"/>
        <rFont val="Arial"/>
        <family val="2"/>
        <charset val="204"/>
      </rPr>
      <t>3 формы 2.2</t>
    </r>
    <r>
      <rPr>
        <sz val="10"/>
        <rFont val="Arial"/>
        <family val="2"/>
        <charset val="204"/>
      </rPr>
      <t xml:space="preserve"> приложения N 2 к настоящим методическим указаниям равная 0,5 балла; по </t>
    </r>
    <r>
      <rPr>
        <sz val="10"/>
        <color indexed="12"/>
        <rFont val="Arial"/>
        <family val="2"/>
        <charset val="204"/>
      </rPr>
      <t>пункту 4 формы 2.2</t>
    </r>
    <r>
      <rPr>
        <sz val="10"/>
        <rFont val="Arial"/>
        <family val="2"/>
        <charset val="204"/>
      </rPr>
      <t xml:space="preserve"> к настоящим Методическим указаниям равная 0,2 балла),</t>
    </r>
  </si>
  <si>
    <t>Навесы Л-300</t>
  </si>
  <si>
    <t>0009104571</t>
  </si>
  <si>
    <t>Огнетушитель ОУ-100</t>
  </si>
  <si>
    <t>0007319001</t>
  </si>
  <si>
    <t>Огнетушитель порошковый ОП-10</t>
  </si>
  <si>
    <t>0007319002</t>
  </si>
  <si>
    <t>Огнетушитель порошковый ОП-5</t>
  </si>
  <si>
    <t>0007319022</t>
  </si>
  <si>
    <t>Огнетушитель углекислотный ОУ-10</t>
  </si>
  <si>
    <t>0007319003</t>
  </si>
  <si>
    <t>Огнетушитель углекислотный ОУ-3</t>
  </si>
  <si>
    <t>0007319014</t>
  </si>
  <si>
    <t>Огнетушитель углекислотный ОУ-5</t>
  </si>
  <si>
    <t>0009103874</t>
  </si>
  <si>
    <t>Подмости диэлектрические 1м</t>
  </si>
  <si>
    <t>0009103873</t>
  </si>
  <si>
    <t>Подмости диэлектрические 2,5м</t>
  </si>
  <si>
    <t>0009103762</t>
  </si>
  <si>
    <t>Подмости диэлектрические 5м</t>
  </si>
  <si>
    <t>0009104575</t>
  </si>
  <si>
    <t>Полиспаст натяжной ПН с полимерным канатом 30м,1,5тн</t>
  </si>
  <si>
    <t>0004202034</t>
  </si>
  <si>
    <t>Порошок стиральный "ARIEL"</t>
  </si>
  <si>
    <t>0004202005</t>
  </si>
  <si>
    <t>Порошок стиральный "Лотос-М"</t>
  </si>
  <si>
    <t>0003611855</t>
  </si>
  <si>
    <t>Прожектор ЖКУ 02-1000-026</t>
  </si>
  <si>
    <t>0003704713</t>
  </si>
  <si>
    <t>Пылесос Samsung 1400Вт</t>
  </si>
  <si>
    <t>0007402023</t>
  </si>
  <si>
    <t>Раствор антисептический  95%</t>
  </si>
  <si>
    <t>0009102325</t>
  </si>
  <si>
    <t>Редуктор кислородный БКО-50-4</t>
  </si>
  <si>
    <t>0003613154</t>
  </si>
  <si>
    <t>Редуктор пропановый БПО-50-4</t>
  </si>
  <si>
    <t>0009104289</t>
  </si>
  <si>
    <t>Светильник ГО-330-250-002</t>
  </si>
  <si>
    <t>0003606507</t>
  </si>
  <si>
    <t>Светильник ГО-330-400-002</t>
  </si>
  <si>
    <t>0009103638</t>
  </si>
  <si>
    <t>Светильник ЛПО 50 2х80</t>
  </si>
  <si>
    <t>0003606475</t>
  </si>
  <si>
    <t>Светильник ЛПО 50-4х40</t>
  </si>
  <si>
    <t>0003606429</t>
  </si>
  <si>
    <t>Светильник ЛСП-6х2х40</t>
  </si>
  <si>
    <t>0009003684</t>
  </si>
  <si>
    <t>Светильник НРБ-01-06-001 УХЛ4</t>
  </si>
  <si>
    <t>Светильник ЖКУ-15 250-101 «Б» с защитным стеклом</t>
  </si>
  <si>
    <t>Средство моющее "DOMESTOS"</t>
  </si>
  <si>
    <t>Средство моющее «Санокс гель»</t>
  </si>
  <si>
    <t>0004202043</t>
  </si>
  <si>
    <t>Средство  для чистки стекол</t>
  </si>
  <si>
    <t>0000306217</t>
  </si>
  <si>
    <t>Строп канатный 1СК 0,5т дл.1,0м</t>
  </si>
  <si>
    <t>0000306201</t>
  </si>
  <si>
    <t>Строп канатный 4СК 2,0т дл.2,5м</t>
  </si>
  <si>
    <t>0000306206</t>
  </si>
  <si>
    <t>Строп канатный УСК-1 0,5т дл.5,0м</t>
  </si>
  <si>
    <t>0000306162</t>
  </si>
  <si>
    <t>Строп канатный УСК-1 1,0т дл.2,0м</t>
  </si>
  <si>
    <t>0000306167</t>
  </si>
  <si>
    <t>Строп канатный УСК-1 1,0т дл.3,0м</t>
  </si>
  <si>
    <t>0000306208</t>
  </si>
  <si>
    <t>Строп канатный УСК-1 1,0т дл.6,0м</t>
  </si>
  <si>
    <t>0009003780</t>
  </si>
  <si>
    <t>Строп канатный УСК-1 2,0т дл.2,0м</t>
  </si>
  <si>
    <t>0000306191</t>
  </si>
  <si>
    <t>Строп канатный УСК-1 2,0т дл.3,0м</t>
  </si>
  <si>
    <t>0000306205</t>
  </si>
  <si>
    <t>Строп канатный УСК-1 2,0т дл.4,0м</t>
  </si>
  <si>
    <t>0000306203</t>
  </si>
  <si>
    <t>Строп канатный УСК-1 3,2т дл.3,0м</t>
  </si>
  <si>
    <t>0000306207</t>
  </si>
  <si>
    <t>Строп канатный УСК-1 4,0т дл.5,0м</t>
  </si>
  <si>
    <t>0009003787</t>
  </si>
  <si>
    <t>Строп канатный УСК-2 12,5т дл.3,0м</t>
  </si>
  <si>
    <t>0009003782</t>
  </si>
  <si>
    <t>Строп канатный УСК-2 4,0т дл.4,0м</t>
  </si>
  <si>
    <t>0009103770</t>
  </si>
  <si>
    <t>Строп унииверсальный цепной УСЦ-1-0,5 дл.1м</t>
  </si>
  <si>
    <t>0009103637</t>
  </si>
  <si>
    <t>Строп цепной двухветвевой 2СЦ 4,5т/L1м</t>
  </si>
  <si>
    <t>Унитаз компактный</t>
  </si>
  <si>
    <t>Раковина для умывальника</t>
  </si>
  <si>
    <t>Постамент для раковины</t>
  </si>
  <si>
    <t>Смеситель для раковины</t>
  </si>
  <si>
    <t>0009104588</t>
  </si>
  <si>
    <t>Таль ручная стационарная ТРШС-0,5 тн, 3м</t>
  </si>
  <si>
    <t>0009003970</t>
  </si>
  <si>
    <t>Таль ручная стационарная ТРШС-1,0 3м</t>
  </si>
  <si>
    <t>0009003971</t>
  </si>
  <si>
    <t>таль ручная стационарная ТРШС-2,0 3м</t>
  </si>
  <si>
    <t>Тепловентилятор 220В 5кВт</t>
  </si>
  <si>
    <t>Тепловентилятор BALLU ВРН-15 кВт</t>
  </si>
  <si>
    <t>0003608400</t>
  </si>
  <si>
    <t>Тепловентилятор КЭВ-18С20</t>
  </si>
  <si>
    <t>0009103620</t>
  </si>
  <si>
    <t>Устройство зарядное ВС-119N ICOM</t>
  </si>
  <si>
    <t>0009104596</t>
  </si>
  <si>
    <t>Устройство тяговое монтажное УТМ-0, 8канат  сталь 6,2 мм.</t>
  </si>
  <si>
    <t>0003704684</t>
  </si>
  <si>
    <t>Холодильник 120л</t>
  </si>
  <si>
    <t>Печь электрическая 4-х конфорочная</t>
  </si>
  <si>
    <t>выставляется при значении величины графы 4 форм 2.1 - 2.3 приложения N 2 к настоящим методическим указаниям, находящемся в диапазоне от 80 до 120% включительно;</t>
  </si>
  <si>
    <r>
      <t xml:space="preserve">оценка, равная 1 баллу (по </t>
    </r>
    <r>
      <rPr>
        <sz val="10"/>
        <color indexed="12"/>
        <rFont val="Arial"/>
        <family val="2"/>
        <charset val="204"/>
      </rPr>
      <t>пунктам 1</t>
    </r>
    <r>
      <rPr>
        <sz val="10"/>
        <rFont val="Arial"/>
        <family val="2"/>
        <charset val="204"/>
      </rPr>
      <t xml:space="preserve">, </t>
    </r>
    <r>
      <rPr>
        <sz val="10"/>
        <color indexed="12"/>
        <rFont val="Arial"/>
        <family val="2"/>
        <charset val="204"/>
      </rPr>
      <t>2</t>
    </r>
    <r>
      <rPr>
        <sz val="10"/>
        <rFont val="Arial"/>
        <family val="2"/>
        <charset val="204"/>
      </rPr>
      <t xml:space="preserve"> и </t>
    </r>
    <r>
      <rPr>
        <sz val="10"/>
        <color indexed="12"/>
        <rFont val="Arial"/>
        <family val="2"/>
        <charset val="204"/>
      </rPr>
      <t>3 формы 2.2</t>
    </r>
    <r>
      <rPr>
        <sz val="10"/>
        <rFont val="Arial"/>
        <family val="2"/>
        <charset val="204"/>
      </rPr>
      <t xml:space="preserve"> приложения N 2 к настоящим методическим указаниям равная 0,25 балла; по </t>
    </r>
    <r>
      <rPr>
        <sz val="10"/>
        <color indexed="12"/>
        <rFont val="Arial"/>
        <family val="2"/>
        <charset val="204"/>
      </rPr>
      <t>пункту 4 формы 2.2</t>
    </r>
    <r>
      <rPr>
        <sz val="10"/>
        <rFont val="Arial"/>
        <family val="2"/>
        <charset val="204"/>
      </rPr>
      <t xml:space="preserve"> к настоящим Методическим указаниям равная 0,1 балла), </t>
    </r>
  </si>
  <si>
    <t xml:space="preserve">выставляется при значении величины графы 4 форм 2.1 - 2.3 приложения N 2 к настоящим методическим указаниям менее 80% в случае обратной зависимости от значения величины графы 2 форм 2.1 - 2.3 приложения N 2 </t>
  </si>
  <si>
    <t>к настоящим методическим указаниям, а также при значении величины графы 4 больше 120% в случае прямой зависимости от значения величины графы 2 форм 2.1 - 2.3 приложения N 2 к настоящим методическим указаниям.</t>
  </si>
  <si>
    <r>
      <t xml:space="preserve">3.2.10. Оценочные баллы параметров указываются в графе 6 </t>
    </r>
    <r>
      <rPr>
        <sz val="10"/>
        <color indexed="12"/>
        <rFont val="Arial"/>
        <family val="2"/>
        <charset val="204"/>
      </rPr>
      <t>форм 2.1</t>
    </r>
    <r>
      <rPr>
        <sz val="10"/>
        <rFont val="Arial"/>
        <family val="2"/>
        <charset val="204"/>
      </rPr>
      <t xml:space="preserve"> - </t>
    </r>
    <r>
      <rPr>
        <sz val="10"/>
        <color indexed="12"/>
        <rFont val="Arial"/>
        <family val="2"/>
        <charset val="204"/>
      </rPr>
      <t>2.3</t>
    </r>
    <r>
      <rPr>
        <sz val="10"/>
        <rFont val="Arial"/>
        <family val="2"/>
        <charset val="204"/>
      </rPr>
      <t xml:space="preserve"> приложения N 2 к настоящим методическим указаниям.</t>
    </r>
  </si>
  <si>
    <t>3.2.11. Оценка параметра, характеризующего индикатор качества обслуживания потребителей, рассчитывается как среднее арифметическое значение оценок критериев, характеризующих этот параметр.</t>
  </si>
  <si>
    <t>3.2.12. Значение каждого индикатора качества обслуживания потребителей (, и ) определяется оценкой соответствующего индикатора качества как среднее арифметическое значение по всем оценкам параметров, характеризующих соответствующий индикатор качества.</t>
  </si>
  <si>
    <t xml:space="preserve">3.2.13. Фактические значения параметров, характеризующих индикаторы качества, порядок расчета оценок и непосредственно оценки параметров за отчетный расчетный период регулирования, </t>
  </si>
  <si>
    <t>указываются территориальной сетевой организацией соответственно в формах 2.1 - 2.3 приложения N 2 к настоящим методическим указаниям.</t>
  </si>
  <si>
    <r>
      <t xml:space="preserve">Для оценки каждого параметра (критерия) производится анализ значения величины (Ф / П x 100), указанной в графе 4 </t>
    </r>
    <r>
      <rPr>
        <sz val="10"/>
        <color indexed="12"/>
        <rFont val="Arial"/>
        <family val="2"/>
        <charset val="204"/>
      </rPr>
      <t xml:space="preserve">форм 2.1 - 2.3  </t>
    </r>
    <r>
      <rPr>
        <sz val="10"/>
        <rFont val="Arial"/>
        <family val="2"/>
        <charset val="204"/>
      </rPr>
      <t xml:space="preserve"> приложения N 2 к настоящим методическим указаниям. </t>
    </r>
  </si>
  <si>
    <t>Замена оконных блоков 1эт (7шт) (Пристройка здания ГПП-1 (ЗРУ-6-1)</t>
  </si>
  <si>
    <t>Ремонт кровли здание ТП-101</t>
  </si>
  <si>
    <t>Ремонт кровли здание ТП-55</t>
  </si>
  <si>
    <t>Ремонт кровли здание мастерской ОРУ-110 ПС ГПП-1</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</si>
  <si>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</si>
  <si>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</si>
  <si>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</si>
  <si>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</si>
  <si>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</si>
  <si>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</si>
  <si>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</si>
  <si>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</si>
  <si>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</si>
  <si>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</si>
  <si>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</si>
  <si>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наименование</t>
  </si>
  <si>
    <t>Планируемая дата или период размещения извещения
о закупке
(месяц, год)</t>
  </si>
  <si>
    <r>
      <t xml:space="preserve">Расчетный объем услуг в части управления технологическими режимами </t>
    </r>
    <r>
      <rPr>
        <vertAlign val="superscript"/>
        <sz val="12"/>
        <rFont val="Times New Roman"/>
        <family val="1"/>
        <charset val="204"/>
      </rPr>
      <t>2</t>
    </r>
  </si>
  <si>
    <t>Раздел 1. Информация об организации</t>
  </si>
  <si>
    <r>
      <t xml:space="preserve">Расчетный объем услуг в части обеспечения надежности </t>
    </r>
    <r>
      <rPr>
        <vertAlign val="superscript"/>
        <sz val="12"/>
        <rFont val="Times New Roman"/>
        <family val="1"/>
        <charset val="204"/>
      </rPr>
      <t>2</t>
    </r>
  </si>
  <si>
    <t>МВт·ч</t>
  </si>
  <si>
    <t>Полное наименование</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</si>
  <si>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</si>
  <si>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</si>
  <si>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</si>
  <si>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</si>
  <si>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Сокращенное наименование</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</si>
  <si>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</si>
  <si>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</si>
  <si>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</si>
  <si>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ООО "РСМЭ"</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</si>
  <si>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</si>
  <si>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</si>
  <si>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Место нахождения</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</si>
  <si>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</si>
  <si>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</si>
  <si>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руководителем ООО "Ростсельмашэнерго" 26.06.2015</t>
  </si>
  <si>
    <t>344029 г.Ростов-на-Дону, ул. Менжинского 2С</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</si>
  <si>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</si>
  <si>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</si>
  <si>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Фактический адрес</t>
  </si>
  <si>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</si>
  <si>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</si>
  <si>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ИНН 6166047727</t>
  </si>
  <si>
    <t>оплата труда</t>
  </si>
  <si>
    <t>КПП 616601001</t>
  </si>
  <si>
    <t>ремонт основных фондов</t>
  </si>
  <si>
    <t>Ф.И.О. руководителя</t>
  </si>
  <si>
    <t>материальные затраты</t>
  </si>
  <si>
    <t>Мижерицкий Роман Александович</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</si>
  <si>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</si>
  <si>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</si>
  <si>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Адрес электронной почты</t>
  </si>
  <si>
    <t>4.3.</t>
  </si>
  <si>
    <t>Выпадающие, 
излишние доходы (расходы) прошлых лет</t>
  </si>
  <si>
    <t>DirRSE@oaorsm.ru</t>
  </si>
  <si>
    <t>4.4.</t>
  </si>
  <si>
    <t>Инвестиции, осуществляемые 
за счет тарифных источников</t>
  </si>
  <si>
    <t>Контактный телефон</t>
  </si>
  <si>
    <t>Реквизиты инвестиционной программы (кем утверждена, дата утверждения, номер приказа)</t>
  </si>
  <si>
    <t>(863)-250-31-02</t>
  </si>
  <si>
    <t>Факс</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</si>
  <si>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</si>
  <si>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</si>
  <si>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</si>
  <si>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</si>
  <si>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</si>
  <si>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подлежит опубликованию на официальном сайте сетевой организации в сети Интернет, предоставляется потребителям путем размещения в печатном виде в центрах очного обслуживания и обновляется в течение 10 дней со дня вступления в силу изменений.</t>
  </si>
  <si>
    <t>вкладка п.п. 11 и</t>
  </si>
  <si>
    <t>к</t>
  </si>
  <si>
    <t>о лицах, намеревающихся перераспределить максимальную мощность принадлежащих им энергопринимающих устройств в пользу иных лиц, включая:</t>
  </si>
  <si>
    <t>наименование лица, которое намеревается осуществить перераспределение максимальной мощности принадлежащих ему энергопринимающих устройств, и его контактные данные</t>
  </si>
  <si>
    <t>подлежит опубликованию на официальном сайте сетевой организации или ином официальном сайте в сети Интернет, определенном Правительством Российской Федерации, в течение 5 рабочих дней со дня получения заявления от лица, намеревающегося осуществить перераспределение максимальной мощности принадлежащих ему энергопринимающих устройств в пользу иных лиц, а также направляется по письменному запросу заинтересованным лицам в течение 7 рабочих дней со дня получения такого запроса</t>
  </si>
  <si>
    <t>вкладка п.п. 11 к</t>
  </si>
  <si>
    <t>объем планируемой к перераспределению максимальной мощности</t>
  </si>
  <si>
    <t xml:space="preserve">
наименование и место нахождения центра питания
</t>
  </si>
  <si>
    <t>л</t>
  </si>
  <si>
    <t>о качестве обслуживания потребителей услуг сетевой организации - по форме, утверждаемой уполномоченным Правительством Российской Федерации федеральным органом исполнительной власти;</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</si>
  <si>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не позднее 1 апреля года, следующего за отчетным.</t>
  </si>
  <si>
    <t>вкладки п.п. 11 л 1- 5</t>
  </si>
  <si>
    <t>м</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</si>
  <si>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</si>
  <si>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по мере обновления, но не реже одного раза в месяц.</t>
  </si>
  <si>
    <t>вкладк п.п. 11 м</t>
  </si>
  <si>
    <t>Заключить договор на диагностирование тр-ра ТРДН 40000/110 на месте Т2 ГПП-1.</t>
  </si>
  <si>
    <t>Произвести ремонт ошиновки 6 кВ тр-ра 2Т ГПП-1</t>
  </si>
  <si>
    <t>Сиволодский В.С.</t>
  </si>
  <si>
    <t>Ремонт</t>
  </si>
  <si>
    <t>Произвести монтаж выключателя HGV в яч.8 РУ-6-1 ГПП-1.</t>
  </si>
  <si>
    <t>Подряд</t>
  </si>
  <si>
    <t>Произвести монтаж силовых и вторичных цепей (в пределах камеры выключателя) яч. 8 РУ-6-1 ГПП-1.</t>
  </si>
  <si>
    <t>Произвести монтаж кабельных линий от ОПУ до яч.8 РУ-6-1 ГПП-1.</t>
  </si>
  <si>
    <t>Монтаж</t>
  </si>
  <si>
    <t>Произвести подключение кабельных линий со стороны яч.8 РУ-6-1 ГПП-1.</t>
  </si>
  <si>
    <t>Произвести монтаж аппаратуры и схемы на панели управления 2Т ГПП-1, подключить подведенные к ней КЛ.</t>
  </si>
  <si>
    <t>Произвести монтаж фундамента и маслоприемника для тр-ра ТРДН 40000/110 на месте Т2 ГПП-1</t>
  </si>
  <si>
    <t>Произвести демонтаж шинного моста 6 кВ Т3 ГПП-1, включая опорные стойки.</t>
  </si>
  <si>
    <t>Подготовка Т2 ГПП-3 к демонтажу (слив масла, демонтаж навесного оборудования и вторичных цепей)</t>
  </si>
  <si>
    <t>Демонтаж проема для выката из камеры Т2 ГПП-3</t>
  </si>
  <si>
    <t>Монтаж путей (шпальной клетки) для выката из камеры Т2 ГПП-3</t>
  </si>
  <si>
    <t>Произвести транспортировку и монтаж тр-ра ТРДН 40000/110 на месте Т2 ГПП-1</t>
  </si>
  <si>
    <t>Монтаж проема в камере Т2 ГПП-3</t>
  </si>
  <si>
    <t>Произвести капремонт тр-ра ТРДН 40000/110 на месте Т2 ГПП-1</t>
  </si>
  <si>
    <t>Произвести повторное диагностирование тр-ра ТРДН 40000/110 на месте Т2 ГПП-1 после капремонта.</t>
  </si>
  <si>
    <t>Произвести монтаж шкафа зажимов трансформатора.</t>
  </si>
  <si>
    <t>Произвести монтаж кабельных трасс от ОПУ до шкафа зажимов трансформатора (ШЗТ).</t>
  </si>
  <si>
    <t>Произвести монтаж кабельных линий от ОПУ до ШЗТ.</t>
  </si>
  <si>
    <t>Произвести монтаж кабельных линий от ШЗТ до трансформатора.</t>
  </si>
  <si>
    <t>Произвести подключение кабельных линий в ШЗТ, на трансформаторе, на панелях управления и СН-0,4 кВ.</t>
  </si>
  <si>
    <t xml:space="preserve">Произвести наладку схемы РПН и обдува (по возможности), от новой панели управления (Сириус-2-РН). </t>
  </si>
  <si>
    <t>Вывести из работы 4Т.</t>
  </si>
  <si>
    <t>ОДС</t>
  </si>
  <si>
    <t>Смонтировать и наладить схему РЗА 4Т от «своего» выключателя, в т.ч. имитировать работу УРОВ и ДЗШ (без отключения 2С 110 кВ)</t>
  </si>
  <si>
    <t>Разработать программу включения 4Т от «своего» выключателя.</t>
  </si>
  <si>
    <t xml:space="preserve">Включить в работу 4Т по утвержденной программе. </t>
  </si>
  <si>
    <t>Монтаж стоек разъединителя ОР-2.</t>
  </si>
  <si>
    <t>Изготовление площадок обслуживания (заготовок на козырьки, и т.п.) разъединителя ОР-2.</t>
  </si>
  <si>
    <t>Произвести замену разъединителя ОР-2.</t>
  </si>
  <si>
    <t>Смонтировать трассу и кабель вторичных цепей к ОР-2, включая подключение.</t>
  </si>
  <si>
    <t>Монтаж ошиновки 110 кВ Т2 и ОР-2 ГПП-1.</t>
  </si>
  <si>
    <t>Разработать программу наладки (проверки при новом включении) проектной схемы РЗА 2Т</t>
  </si>
  <si>
    <t>Подготовка релейной аппаратуры к монтажу на панели 32РА (ревизия, индивидуальные испытания)</t>
  </si>
  <si>
    <t>Демонтаж аппаратуры на панелях защиты Т2 2Р и 3Р (кабели в сторону ШЗВ оставить подключенными!!!)</t>
  </si>
  <si>
    <t>Подготовка каркаса панелей защиты 2Т 2Р и 3Р  (монтаж новых лицевых панелей, покраска, монтаж рядов клеммных зажимов)</t>
  </si>
  <si>
    <t>Монтаж релейной аппаратуры на панелях 2Р и 3Р</t>
  </si>
  <si>
    <t>Монтаж схемы вторичных цепей на панелях 2Р и 3Р</t>
  </si>
  <si>
    <t>Подключение КЛ вторичных цепей к панелям 2Р и 3Р (УРОВ и ДЗШ подключаем в самом конце).</t>
  </si>
  <si>
    <t>Пусконаладочные работы вторичных цепей в полной схеме по разработанной программе.</t>
  </si>
  <si>
    <t>Разработать программу включения 2Т.</t>
  </si>
  <si>
    <t>Оформление распоряжения о включении 2Т.</t>
  </si>
  <si>
    <t xml:space="preserve">Включить в работу 2Т по утвержденной программе. </t>
  </si>
  <si>
    <t>Приемка учета присоединения ВЛ-110 кВ 2Т</t>
  </si>
  <si>
    <t>Челахян Г.В.</t>
  </si>
  <si>
    <t>Инвестиционная программа территориальной сетевой организации</t>
  </si>
  <si>
    <r>
      <t>ООО «Ростсельмашэнерго »</t>
    </r>
    <r>
      <rPr>
        <sz val="13"/>
        <color indexed="8"/>
        <rFont val="Times New Roman"/>
        <family val="1"/>
        <charset val="204"/>
      </rPr>
      <t xml:space="preserve"> </t>
    </r>
    <r>
      <rPr>
        <b/>
        <sz val="13"/>
        <color indexed="8"/>
        <rFont val="Times New Roman"/>
        <family val="1"/>
        <charset val="204"/>
      </rPr>
      <t>в границах Ростовской области на 2012-2014 годы</t>
    </r>
  </si>
  <si>
    <t xml:space="preserve">Перечень инвестиционных проектов на период реализации инвестиционной программы </t>
  </si>
  <si>
    <t>N</t>
  </si>
  <si>
    <t>Стадия реализации проекта</t>
  </si>
  <si>
    <t>Проектная мощность/</t>
  </si>
  <si>
    <t>Полная</t>
  </si>
  <si>
    <t>Остаточная стоимость строительства **</t>
  </si>
  <si>
    <t>План</t>
  </si>
  <si>
    <t>Ввод мощностей</t>
  </si>
  <si>
    <t>Объем финансирования***</t>
  </si>
  <si>
    <t>п/п</t>
  </si>
  <si>
    <t>протяженность сетей</t>
  </si>
  <si>
    <t>начала</t>
  </si>
  <si>
    <t>окончания</t>
  </si>
  <si>
    <t>стоимость</t>
  </si>
  <si>
    <t>финансирования</t>
  </si>
  <si>
    <t>строительства</t>
  </si>
  <si>
    <t>строительства **</t>
  </si>
  <si>
    <t>текущего года</t>
  </si>
  <si>
    <t>План года 2012</t>
  </si>
  <si>
    <t>План года 2013</t>
  </si>
  <si>
    <t>План года 2014</t>
  </si>
  <si>
    <t>Компьютер IMANGO</t>
  </si>
  <si>
    <t>Компьютер Intel C2D-266/2*1024/2*250/ASUS PSK Pr</t>
  </si>
  <si>
    <t>Компьютер OfficeC MS-661 FM/CEL</t>
  </si>
  <si>
    <t>Компьютер Seleron 2,2/ P4 ВР/256/40</t>
  </si>
  <si>
    <t>Компьютер С/Б 661FX7MI/CEL 2667/80/256/CD-ROM</t>
  </si>
  <si>
    <t>Компьютер С/Б FXME/CEL 2267/256/80/CD-ROM</t>
  </si>
  <si>
    <t>Компьютер С\Б 661FX7MI\CEL 2667\80\256 CD-ROM</t>
  </si>
  <si>
    <t>Ксерокс КМА КМ-1635, А3, 16 коп/мин, 25-400%, 600</t>
  </si>
  <si>
    <t>Ноутбук Dell Latitude D630  ATG</t>
  </si>
  <si>
    <t>Ноутбук iRU intro-2614L COMBO</t>
  </si>
  <si>
    <t>Ноутбук Latitude D531 Turion 64х2</t>
  </si>
  <si>
    <t>ПК терминал</t>
  </si>
  <si>
    <t>Сервер CPU s775 intel Core2Duo E6400</t>
  </si>
  <si>
    <t>Сервер R-Style Marshall NP 2020 XE5450 4x1Gb 4x73G</t>
  </si>
  <si>
    <t>Терминал (Компьютер )</t>
  </si>
  <si>
    <t>Трубопровод Т/С к станции химстоков</t>
  </si>
  <si>
    <t>за 2015 год.</t>
  </si>
  <si>
    <t>Автомобиль Renault NEW FLUENCE ph2 Authentique 1,6 МКП5 (Р209УЕ161)</t>
  </si>
  <si>
    <t>Автомобиль ВАЗ 111130 (В 633 СК61)</t>
  </si>
  <si>
    <t>Станция КНС ул.Веры Пановой</t>
  </si>
  <si>
    <t>Установка ультразвуковая "ВОЛНА-М"</t>
  </si>
  <si>
    <t>Электрооборудование КРУ-6 кВ РП-БМЦ</t>
  </si>
  <si>
    <t>Электрооборудование ячейки 110 кВ Р1-Р37 РСМ ГПП-1</t>
  </si>
  <si>
    <t>за 2016 год.</t>
  </si>
  <si>
    <t>Автомобиль DAEWOO NEXIA ( А 167 УЕ 161)</t>
  </si>
  <si>
    <t>Автомобиль ГАЗ 3110 (С 314 СК 61)</t>
  </si>
  <si>
    <t>ВОДОГРЕВ.КОТЕЛ N 10 ПТВМ-50</t>
  </si>
  <si>
    <t>Двухцепная кабельная воздушная линия 0,4 кВ</t>
  </si>
  <si>
    <t>ЗРУ-6 кВ ГПП-2 с трансформатором 25000 кВА</t>
  </si>
  <si>
    <t>Конденсатный насос №4 конденсатоочистки</t>
  </si>
  <si>
    <t>Машина для очистки канализационных сетей КО-514 (О748ХЕ161)</t>
  </si>
  <si>
    <t>Панель N18 генератор</t>
  </si>
  <si>
    <t>Подогреватель ПСВ 200-7-15 №3</t>
  </si>
  <si>
    <t>Сетевой насос № 2 с частотным преобразователем</t>
  </si>
  <si>
    <t>Неподконтрольные расходы всего, в том числе:</t>
  </si>
  <si>
    <t>2.1.</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</si>
  <si>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</si>
  <si>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</si>
  <si>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</si>
  <si>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</si>
  <si>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</si>
  <si>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</si>
  <si>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</si>
  <si>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Фактические показатели 
за год, предшествующий базовому периоду 2015</t>
  </si>
  <si>
    <r>
      <t xml:space="preserve">Показатели, утвержденные 
на базовый период </t>
    </r>
    <r>
      <rPr>
        <vertAlign val="superscript"/>
        <sz val="12"/>
        <rFont val="Times New Roman"/>
        <family val="1"/>
        <charset val="204"/>
      </rPr>
      <t>2016</t>
    </r>
  </si>
  <si>
    <t>Предложения 
на расчетный период регулирования 2017</t>
  </si>
  <si>
    <t>(вид цены (тарифа) на 2017г.</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</si>
  <si>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</si>
  <si>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</si>
  <si>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На 2018 г.</t>
  </si>
  <si>
    <t>Единица изменения</t>
  </si>
  <si>
    <t>Фактические показатели за год, предшествующий базовому периоду 2016</t>
  </si>
  <si>
    <t>Показатели, утвержденные на базовый период 2017</t>
  </si>
  <si>
    <t>Предложения на расчетный период регулирования 2018</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</si>
  <si>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</si>
  <si>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</si>
  <si>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</si>
  <si>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</si>
  <si>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</si>
  <si>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</si>
  <si>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t>
  </si>
  <si>
    <t xml:space="preserve">услуги по передаче электрической энергии (мощности) </t>
  </si>
  <si>
    <t>двухставочный тариф</t>
  </si>
  <si>
    <t>ставка на содержание сетей</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</si>
  <si>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</si>
  <si>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</si>
  <si>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</si>
  <si>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</si>
  <si>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</si>
  <si>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</si>
  <si>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</si>
  <si>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</si>
  <si>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</si>
  <si>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</si>
  <si>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</si>
  <si>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</si>
  <si>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</si>
  <si>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</si>
  <si>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</si>
  <si>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</si>
  <si>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</si>
  <si>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</si>
  <si>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</si>
  <si>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</si>
  <si>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</si>
  <si>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</si>
  <si>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</si>
  <si>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</si>
  <si>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</si>
  <si>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</si>
  <si>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</si>
  <si>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</si>
  <si>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</si>
  <si>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</si>
  <si>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</si>
  <si>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</si>
  <si>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</si>
  <si>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</si>
  <si>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</si>
  <si>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</si>
  <si>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На 2017 г.</t>
  </si>
  <si>
    <t>Фактические показатели за год, предшествующий базовому периоду 2015</t>
  </si>
  <si>
    <t>Показатели, утвержденные на базовый период 2016</t>
  </si>
  <si>
    <t>Предложения на расчетный период регулирования 2017</t>
  </si>
  <si>
    <t>_____*_Базовый период - год, предшествующий расчетному периоду регулирования.</t>
  </si>
  <si>
    <t>Замена конденсатного бака №1 конденсатоочистки</t>
  </si>
  <si>
    <t>Замена конденсатного бака №2 конденсатоочистки</t>
  </si>
  <si>
    <t>Капитальный ремонт яч.9 "СВ" РП-61 с заменой масляного выключателя на вакуумный</t>
  </si>
  <si>
    <t>Капитальный ремонт яч.5 "В-1" РП-61 с заменой масляного выключателя на вакуумный</t>
  </si>
  <si>
    <t>Капитальный ремонт трансформатора ТСН 1 ЦЗК  1000 кВА FTDO 1000/10S</t>
  </si>
  <si>
    <t>Капитальный ремонт трансформатора 1250 кВА ТП-61 ТСН-4</t>
  </si>
  <si>
    <t>Ремонт здания РУ-6-I</t>
  </si>
  <si>
    <t>Антикоррозийное покрытие механического фильтра № 4 конденсатоочистки</t>
  </si>
  <si>
    <t>Антикоррозийное покрытие фильтра № 1 I ступени ХВО</t>
  </si>
  <si>
    <t>Капитальный ремонт кровли ГЩУ</t>
  </si>
  <si>
    <t>Окраска здания ГРП-1 в корпоративном стиле</t>
  </si>
  <si>
    <t>Ремонт здания ХВО и ЦВПУ</t>
  </si>
  <si>
    <t>Ремонт кровли над котлами ст. №№ 8-9</t>
  </si>
  <si>
    <t>Замена окон на 4-м этаже АБК ТЭЦ (3 шт.)</t>
  </si>
  <si>
    <t>Замена окон в ГПП-2 (5 шт.)</t>
  </si>
  <si>
    <t>Замена окон в кабинете начальника участка КС</t>
  </si>
  <si>
    <t>Замена окон в нижней мастерской котельного цеха ТЭЦ,  4 шт.</t>
  </si>
  <si>
    <t>Ремонт остекления ЦЗК ТЭЦ</t>
  </si>
  <si>
    <t xml:space="preserve">Залить стяжку в розеттах 2х и 3х секционных градирнях </t>
  </si>
  <si>
    <t xml:space="preserve">Замена водосточных труб ЦЗК и СОВС </t>
  </si>
  <si>
    <t>Ремонт кровли камер всаса ТК 1-4</t>
  </si>
  <si>
    <t>Ремонт кровли над слесарной и столярной мастерской турбинного цеха ТЭЦ</t>
  </si>
  <si>
    <r>
      <t xml:space="preserve">Замена участка подземного газопровода среднего давления на вводе СОК-2 (32) </t>
    </r>
    <r>
      <rPr>
        <i/>
        <sz val="12"/>
        <rFont val="Times New Roman"/>
        <family val="1"/>
        <charset val="204"/>
      </rPr>
      <t>Ф</t>
    </r>
    <r>
      <rPr>
        <sz val="12"/>
        <rFont val="Times New Roman"/>
        <family val="1"/>
        <charset val="204"/>
      </rPr>
      <t xml:space="preserve"> 219х7 L=25 п.м.</t>
    </r>
  </si>
  <si>
    <t>Монтаж и наладка системы контроля содержания окиси углерода и метана в помещениях котельного цеха ТЭЦ</t>
  </si>
  <si>
    <t>Техническое диагностирование мазутного подогревателя  № 1 ПМ-40-30 рег.№ 470/А</t>
  </si>
  <si>
    <t>Техническое диагностирование мазутного подогревателя  № 2 ПМ-40-30 рег.№ 170/А</t>
  </si>
  <si>
    <t>Техническое диагностирование мазутного подогревателя  № 3 ПМ-40-30 рег.№ 270/А</t>
  </si>
  <si>
    <t>Техническое диагностирование мазутного подогревателя  № 4 ПМ-40-30 рег.№ 370/А</t>
  </si>
  <si>
    <t>Техническое диагностирование подогревателя химочищенной воды деаэраторов питательной воды ст.№ 1 рег. № 05.11/ЭА</t>
  </si>
  <si>
    <t>Техническое диагностирование подогревателя химочищенной воды деаэраторов питательной воды ст.№ 2 рег. № 06.11/ЭА</t>
  </si>
  <si>
    <t>Техническое диагностирование трубопровода редуцированного пара котельного отделения IV кат. рег. № 21.00/Т</t>
  </si>
  <si>
    <t>Техническое диагностирование трубопровода редуцированного пара турбинного отделения IV кат. рег. № 20.00/Т</t>
  </si>
  <si>
    <t>Техническое диагностирование трубопровода сетевой воды водогрейных котлов ПТВМ-30 ст. №№ 13, 14, 15 IV кат. рег. № 18.00/Т</t>
  </si>
  <si>
    <t>Техническое диагностирование трубопровода сетевой воды водогрейных котлов ПТВМ-50 ст. №№ 10, 11, 12 IV кат. рег. № 19.00/Т</t>
  </si>
  <si>
    <t>ЭПБ здания котельной с котлами ст.№ 1-7 (экспертиза промышленной безопасности)</t>
  </si>
  <si>
    <t>ЭПБ здания котельной с котлами ст.№ 8-12 (экспертиза промышленной безопасности)</t>
  </si>
  <si>
    <t>Закупка топлива для транспортных средств</t>
  </si>
  <si>
    <t>невозможно определить</t>
  </si>
  <si>
    <t>2016</t>
  </si>
  <si>
    <t>Замена дополнительного щита 0,4 кВ на ТП-55 с рубильниками на щит ЩО-70 с автоматическими выключателями</t>
  </si>
  <si>
    <t>Организация должна  иметь допуски на выполнения работ, иметь обученный персонал и аттестованное оборудование..</t>
  </si>
  <si>
    <t>ед.</t>
  </si>
  <si>
    <t>Диагностика трансформатора 110/6 кВ ТС-2 ГПП-2</t>
  </si>
  <si>
    <t>Организация должна  иметь допуски на выполнения работ, иметь обученный персонал и аттестованное оборудованиеи..</t>
  </si>
  <si>
    <t>Техническое освидетельствование и оценка технического состояния кабельного тоннеля ТЭЦ.</t>
  </si>
  <si>
    <t>Организация должна  иметь допуски на выполнения работ, иметь обученный персонал и аттестованное оборудование.</t>
  </si>
  <si>
    <t>Разработка проекта пожаротушения кабельных подвалов и кабельного тоннеля ТЭЦ</t>
  </si>
  <si>
    <t>Щит ЩРО 94-50-15 УЗ</t>
  </si>
  <si>
    <t>Измеритель сопротивления обмоток ИСО-1</t>
  </si>
  <si>
    <t>Выключатель колонковый элегазовый  ВГП-110-II*-40/2500У1</t>
  </si>
  <si>
    <t xml:space="preserve">       </t>
  </si>
  <si>
    <t>Начальник ССиЛ                                                                                                                                Петров А.А.</t>
  </si>
  <si>
    <t>Изменение №2</t>
  </si>
  <si>
    <t xml:space="preserve"> закупки товаров (работ, услуг)</t>
  </si>
  <si>
    <t>2017</t>
  </si>
  <si>
    <t xml:space="preserve">Страхование опасных производственных объектов </t>
  </si>
  <si>
    <t>ед</t>
  </si>
  <si>
    <t xml:space="preserve">Изменение №3. </t>
  </si>
  <si>
    <t>2кв.</t>
  </si>
  <si>
    <t>2017 год</t>
  </si>
  <si>
    <t>2кв</t>
  </si>
  <si>
    <t>копл.</t>
  </si>
  <si>
    <t>1кв</t>
  </si>
  <si>
    <t>Соль техническая</t>
  </si>
  <si>
    <t>Катионит</t>
  </si>
  <si>
    <r>
      <t xml:space="preserve">Замена трубопроводов фильтрованной  </t>
    </r>
    <r>
      <rPr>
        <i/>
        <sz val="11"/>
        <rFont val="Times New Roman"/>
        <family val="1"/>
        <charset val="204"/>
      </rPr>
      <t>Ф</t>
    </r>
    <r>
      <rPr>
        <sz val="11"/>
        <rFont val="Times New Roman"/>
        <family val="1"/>
        <charset val="204"/>
      </rPr>
      <t xml:space="preserve"> 273 "Западный ввод" 35 п.м.</t>
    </r>
  </si>
  <si>
    <t>Замена  трубопровода ХВО Ду 150, 150 п.м.</t>
  </si>
  <si>
    <t>Замена сетевого насоса № 7 котельного цеха ТЭЦ</t>
  </si>
  <si>
    <t>Капитальный ремонт ячейки "КСО из камня" 6 кВ яч.5 (ф.ТСН-2) РУ-6-I  с заменой масляного выключателя ВМП-10 на коммутационный модуль ISM 15-LD-1(47)</t>
  </si>
  <si>
    <t>0009104580</t>
  </si>
  <si>
    <t>Сапоги кожаные зимние для защиты от повышенных температур</t>
  </si>
  <si>
    <t>0009104059</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</si>
  <si>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</si>
  <si>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Главный бухгалтер</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</si>
  <si>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</si>
  <si>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http://www.rsmenergo.ru/</t>
  </si>
  <si>
    <t>структура и объем затрат на производство и реализацию товаров (работ, услуг);</t>
  </si>
  <si>
    <t>Ведущий экономист</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</si>
  <si>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апреля.</t>
  </si>
  <si>
    <t>вкладка п.п. 9 Б-1</t>
  </si>
  <si>
    <r>
      <t xml:space="preserve">7) Тариф на передачу электроэнергии (мощности) по сетям ООО «Ростсельмашэнерго» </t>
    </r>
    <r>
      <rPr>
        <b/>
        <sz val="11"/>
        <color indexed="8"/>
        <rFont val="Calibri"/>
        <family val="2"/>
        <charset val="204"/>
      </rPr>
      <t>с 01.01.2013 г по 30.06.2013 г</t>
    </r>
    <r>
      <rPr>
        <sz val="11"/>
        <color theme="1"/>
        <rFont val="Calibri"/>
        <family val="2"/>
        <charset val="204"/>
        <scheme val="minor"/>
      </rPr>
      <t xml:space="preserve">
Одноставочный тариф: 
- </t>
    </r>
    <r>
      <rPr>
        <b/>
        <sz val="11"/>
        <color indexed="8"/>
        <rFont val="Calibri"/>
        <family val="2"/>
        <charset val="204"/>
      </rPr>
      <t>371,86</t>
    </r>
    <r>
      <rPr>
        <sz val="11"/>
        <color theme="1"/>
        <rFont val="Calibri"/>
        <family val="2"/>
        <charset val="204"/>
        <scheme val="minor"/>
      </rPr>
      <t xml:space="preserve"> руб./МВт*ч 
Двухставочный тариф: 
- Ставка на оплату технологических потерь </t>
    </r>
    <r>
      <rPr>
        <b/>
        <sz val="11"/>
        <color indexed="8"/>
        <rFont val="Calibri"/>
        <family val="2"/>
        <charset val="204"/>
      </rPr>
      <t>92,20</t>
    </r>
    <r>
      <rPr>
        <sz val="11"/>
        <color theme="1"/>
        <rFont val="Calibri"/>
        <family val="2"/>
        <charset val="204"/>
        <scheme val="minor"/>
      </rPr>
      <t xml:space="preserve"> руб./МВт*ч 
- Ставка на содержание сетей </t>
    </r>
    <r>
      <rPr>
        <b/>
        <sz val="11"/>
        <color indexed="8"/>
        <rFont val="Calibri"/>
        <family val="2"/>
        <charset val="204"/>
      </rPr>
      <t>49 644,70</t>
    </r>
    <r>
      <rPr>
        <sz val="11"/>
        <color theme="1"/>
        <rFont val="Calibri"/>
        <family val="2"/>
        <charset val="204"/>
        <scheme val="minor"/>
      </rPr>
      <t xml:space="preserve"> руб./МВт*мес 
установленного Постановлением РСТ Ростовской области от 25.12.2012 г. № 53/2; источник официального опубликования решения: Газета «Наше время» 
№№ 788-794 от 29.12.2012
Размер платы за технологическое присоединение осуществляется по индивидуальному тарифу устанавливаемому РСТ РО.</t>
    </r>
  </si>
  <si>
    <r>
      <t xml:space="preserve">8) Тариф на передачу электроэнергии (мощности) по сетям ООО «Ростсельмашэнерго» </t>
    </r>
    <r>
      <rPr>
        <b/>
        <sz val="11"/>
        <color indexed="8"/>
        <rFont val="Calibri"/>
        <family val="2"/>
        <charset val="204"/>
      </rPr>
      <t>с 01.07.2013 г по 31.12.2013 г</t>
    </r>
    <r>
      <rPr>
        <sz val="11"/>
        <color theme="1"/>
        <rFont val="Calibri"/>
        <family val="2"/>
        <charset val="204"/>
        <scheme val="minor"/>
      </rPr>
      <t xml:space="preserve">
Одноставочный тариф: 
- </t>
    </r>
    <r>
      <rPr>
        <b/>
        <sz val="11"/>
        <color indexed="8"/>
        <rFont val="Calibri"/>
        <family val="2"/>
        <charset val="204"/>
      </rPr>
      <t>387,19</t>
    </r>
    <r>
      <rPr>
        <sz val="11"/>
        <color theme="1"/>
        <rFont val="Calibri"/>
        <family val="2"/>
        <charset val="204"/>
        <scheme val="minor"/>
      </rPr>
      <t xml:space="preserve"> руб./МВт*ч 
Двухставочный тариф: 
- Ставка на оплату технологических потерь </t>
    </r>
    <r>
      <rPr>
        <b/>
        <sz val="11"/>
        <color indexed="8"/>
        <rFont val="Calibri"/>
        <family val="2"/>
        <charset val="204"/>
      </rPr>
      <t>103,46</t>
    </r>
    <r>
      <rPr>
        <sz val="11"/>
        <color theme="1"/>
        <rFont val="Calibri"/>
        <family val="2"/>
        <charset val="204"/>
        <scheme val="minor"/>
      </rPr>
      <t xml:space="preserve"> руб./МВт*ч 
- Ставка на содержание сетей </t>
    </r>
    <r>
      <rPr>
        <b/>
        <sz val="11"/>
        <color indexed="8"/>
        <rFont val="Calibri"/>
        <family val="2"/>
        <charset val="204"/>
      </rPr>
      <t>49 644,70</t>
    </r>
    <r>
      <rPr>
        <sz val="11"/>
        <color theme="1"/>
        <rFont val="Calibri"/>
        <family val="2"/>
        <charset val="204"/>
        <scheme val="minor"/>
      </rPr>
      <t xml:space="preserve"> руб./МВт*мес 
установленного Постановлением РСТ Ростовской области от 25.12.2012 г. № 53/2; источник официального опубликования решения: Газета «Наше время» 
№№ 788-794 от 29.12.2012
Размер платы за технологическое присоединение осуществляется по индивидуальному тарифу устанавливаемому РСТ РО.</t>
    </r>
  </si>
  <si>
    <r>
      <t xml:space="preserve">9) Тариф на передачу электроэнергии (мощности) по сетям ООО «Ростсельмашэнерго» </t>
    </r>
    <r>
      <rPr>
        <b/>
        <sz val="11"/>
        <color indexed="8"/>
        <rFont val="Calibri"/>
        <family val="2"/>
        <charset val="204"/>
      </rPr>
      <t>с 01.01.2014 г по 30.06.2014 г</t>
    </r>
    <r>
      <rPr>
        <sz val="11"/>
        <color theme="1"/>
        <rFont val="Calibri"/>
        <family val="2"/>
        <charset val="204"/>
        <scheme val="minor"/>
      </rPr>
      <t xml:space="preserve">
Одноставочный тариф: 
- 414</t>
    </r>
    <r>
      <rPr>
        <b/>
        <sz val="11"/>
        <color indexed="8"/>
        <rFont val="Calibri"/>
        <family val="2"/>
        <charset val="204"/>
      </rPr>
      <t>,03</t>
    </r>
    <r>
      <rPr>
        <sz val="11"/>
        <color theme="1"/>
        <rFont val="Calibri"/>
        <family val="2"/>
        <charset val="204"/>
        <scheme val="minor"/>
      </rPr>
      <t xml:space="preserve"> руб./МВт*ч 
Двухставочный тариф: 
- Ставка на оплату технологических потерь </t>
    </r>
    <r>
      <rPr>
        <b/>
        <sz val="11"/>
        <color indexed="8"/>
        <rFont val="Calibri"/>
        <family val="2"/>
        <charset val="204"/>
      </rPr>
      <t>99,79</t>
    </r>
    <r>
      <rPr>
        <sz val="11"/>
        <color theme="1"/>
        <rFont val="Calibri"/>
        <family val="2"/>
        <charset val="204"/>
        <scheme val="minor"/>
      </rPr>
      <t xml:space="preserve"> руб./МВт*ч 
- Ставка на содержание сетей </t>
    </r>
    <r>
      <rPr>
        <b/>
        <sz val="11"/>
        <color indexed="8"/>
        <rFont val="Calibri"/>
        <family val="2"/>
        <charset val="204"/>
      </rPr>
      <t>60 046,42</t>
    </r>
    <r>
      <rPr>
        <sz val="11"/>
        <color theme="1"/>
        <rFont val="Calibri"/>
        <family val="2"/>
        <charset val="204"/>
        <scheme val="minor"/>
      </rPr>
      <t xml:space="preserve"> руб./МВт*мес 
установленного Постановлением РСТ Ростовской области от 17.12.2013 г. № 66/4; источник официального опубликования решения: Собрание правовых актов Ростовской области №12, часть 1, 2013 год, ст. 2320, подписано в печать 31.01.2014
Размер платы за технологическое присоединение осуществляется по индивидуальному тарифу устанавливаемому РСТ РО.</t>
    </r>
  </si>
  <si>
    <r>
      <t xml:space="preserve">10) Тариф на передачу электроэнергии (мощности) по сетям ООО «Ростсельмашэнерго» </t>
    </r>
    <r>
      <rPr>
        <b/>
        <sz val="11"/>
        <color indexed="8"/>
        <rFont val="Calibri"/>
        <family val="2"/>
        <charset val="204"/>
      </rPr>
      <t>с 01.07.2014 г по 31.12.2014 г</t>
    </r>
    <r>
      <rPr>
        <sz val="11"/>
        <color theme="1"/>
        <rFont val="Calibri"/>
        <family val="2"/>
        <charset val="204"/>
        <scheme val="minor"/>
      </rPr>
      <t xml:space="preserve">
Одноставочный тариф: 
- 453,82 руб./МВт*ч 
Двухставочный тариф: 
- Ставка на оплату технологических потерь </t>
    </r>
    <r>
      <rPr>
        <b/>
        <sz val="11"/>
        <color indexed="8"/>
        <rFont val="Calibri"/>
        <family val="2"/>
        <charset val="204"/>
      </rPr>
      <t>94,6</t>
    </r>
    <r>
      <rPr>
        <sz val="11"/>
        <color theme="1"/>
        <rFont val="Calibri"/>
        <family val="2"/>
        <charset val="204"/>
        <scheme val="minor"/>
      </rPr>
      <t xml:space="preserve"> руб./МВт*ч 
- Ставка на содержание сетей </t>
    </r>
    <r>
      <rPr>
        <b/>
        <sz val="11"/>
        <color indexed="8"/>
        <rFont val="Calibri"/>
        <family val="2"/>
        <charset val="204"/>
      </rPr>
      <t>60 046,42</t>
    </r>
    <r>
      <rPr>
        <sz val="11"/>
        <color theme="1"/>
        <rFont val="Calibri"/>
        <family val="2"/>
        <charset val="204"/>
        <scheme val="minor"/>
      </rPr>
      <t xml:space="preserve"> руб./МВт*мес 
установленного Постановлением РСТ Ростовской области от 17.12.2013 г. № 66/4; источник официального опубликования решения: Собрание правовых актов Ростовской области №12, часть 1, 2013 год, ст. 2320, подписано в печать 31.01.2014
Размер платы за технологическое присоединение осуществляется по индивидуальному тарифу устанавливаемому РСТ РО.</t>
    </r>
  </si>
  <si>
    <r>
      <t xml:space="preserve">11) Тариф на передачу электроэнергии (мощности) по сетям ООО «Ростсельмашэнерго» </t>
    </r>
    <r>
      <rPr>
        <b/>
        <sz val="11"/>
        <color indexed="8"/>
        <rFont val="Calibri"/>
        <family val="2"/>
        <charset val="204"/>
      </rPr>
      <t>с 01.01.2015 г по 30.06.2015 г</t>
    </r>
    <r>
      <rPr>
        <sz val="11"/>
        <color theme="1"/>
        <rFont val="Calibri"/>
        <family val="2"/>
        <charset val="204"/>
        <scheme val="minor"/>
      </rPr>
      <t xml:space="preserve">
Одноставочный тариф: 
- 0,45 руб./кВт*ч 
Двухставочный тариф: 
- Ставка на оплату технологических потерь 0,12 руб./кВт*ч 
- Ставка на содержание сетей 70</t>
    </r>
    <r>
      <rPr>
        <b/>
        <sz val="11"/>
        <color indexed="8"/>
        <rFont val="Calibri"/>
        <family val="2"/>
        <charset val="204"/>
      </rPr>
      <t>,50</t>
    </r>
    <r>
      <rPr>
        <sz val="11"/>
        <color theme="1"/>
        <rFont val="Calibri"/>
        <family val="2"/>
        <charset val="204"/>
        <scheme val="minor"/>
      </rPr>
      <t xml:space="preserve"> руб./кВт*мес 
установленного Постановлением РСТ Ростовской области от 25.12.2014 г. № 85/3; источник официального опубликования решения: газета "Наше время" от 30.12.2014  № 661-671 
Размер платы за технологическое присоединение осуществляется по индивидуальному тарифу устанавливаемому РСТ РО.</t>
    </r>
  </si>
  <si>
    <r>
      <t xml:space="preserve">12) Тариф на передачу электроэнергии (мощности) по сетям ООО «Ростсельмашэнерго» </t>
    </r>
    <r>
      <rPr>
        <b/>
        <sz val="11"/>
        <color indexed="8"/>
        <rFont val="Calibri"/>
        <family val="2"/>
        <charset val="204"/>
      </rPr>
      <t>с 01.07.2015 г по 31.12.2015 г</t>
    </r>
    <r>
      <rPr>
        <sz val="11"/>
        <color theme="1"/>
        <rFont val="Calibri"/>
        <family val="2"/>
        <charset val="204"/>
        <scheme val="minor"/>
      </rPr>
      <t xml:space="preserve">
Одноставочный тариф: 
- 0,56 руб./кВт*ч 
Двухставочный тариф: 
- Ставка на оплату технологических потерь 0,15 руб./кВт*ч 
- Ставка на содержание сетей 70</t>
    </r>
    <r>
      <rPr>
        <b/>
        <sz val="11"/>
        <color indexed="8"/>
        <rFont val="Calibri"/>
        <family val="2"/>
        <charset val="204"/>
      </rPr>
      <t>,50</t>
    </r>
    <r>
      <rPr>
        <sz val="11"/>
        <color theme="1"/>
        <rFont val="Calibri"/>
        <family val="2"/>
        <charset val="204"/>
        <scheme val="minor"/>
      </rPr>
      <t xml:space="preserve"> руб./кВт*мес 
установленного Постановлением РСТ Ростовской области от 25.12.2014 г. № 85/3; источник официального опубликования решения: газета "Наше время" от 30.12.2014  № 661-671
Размер платы за технологическое присоединение осуществляется по индивидуальному тарифу устанавливаемому РСТ РО.</t>
    </r>
  </si>
  <si>
    <r>
      <t xml:space="preserve">13) Тариф на передачу электроэнергии (мощности) по сетям ООО «Ростсельмашэнерго» </t>
    </r>
    <r>
      <rPr>
        <b/>
        <sz val="11"/>
        <color indexed="8"/>
        <rFont val="Calibri"/>
        <family val="2"/>
        <charset val="204"/>
      </rPr>
      <t>с 01.01.2016 г по 30.06.2016 г</t>
    </r>
    <r>
      <rPr>
        <sz val="11"/>
        <color theme="1"/>
        <rFont val="Calibri"/>
        <family val="2"/>
        <charset val="204"/>
        <scheme val="minor"/>
      </rPr>
      <t xml:space="preserve">
Одноставочный тариф: 
- 0,51166 руб./кВт*ч 
Двухставочный тариф: 
- Ставка на оплату технологических потерь 0,14424 руб./кВт*ч 
- Ставка на содержание сетей 71,46129 руб./кВт*мес 
установленного Постановлением РСТ Ростовской области от 25.12.2014 г. № 85/3 с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t>
    </r>
  </si>
  <si>
    <r>
      <t xml:space="preserve">14) Тариф на передачу электроэнергии (мощности) по сетям ООО «Ростсельмашэнерго» </t>
    </r>
    <r>
      <rPr>
        <b/>
        <sz val="11"/>
        <color indexed="8"/>
        <rFont val="Calibri"/>
        <family val="2"/>
        <charset val="204"/>
      </rPr>
      <t>с 01.07.2016 г по 31.12.2016 г</t>
    </r>
    <r>
      <rPr>
        <sz val="11"/>
        <color theme="1"/>
        <rFont val="Calibri"/>
        <family val="2"/>
        <charset val="204"/>
        <scheme val="minor"/>
      </rPr>
      <t xml:space="preserve">
Одноставочный тариф: 
- 0,51166 руб./кВт*ч 
Двухставочный тариф: 
- Ставка на оплату технологических потерь 0,14424 руб./кВт*ч 
- Ставка на содержание сетей 58,13657 руб./кВт*мес 
установленного Постановлением РСТ Ростовской области от 25.12.2014 г. № 85/3 c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t>
    </r>
  </si>
  <si>
    <t>15) Стандартизированные ставки и ставки за единицу максимальной мощности за технологическое присоединение энергопринимающих устройств к распределительным электрическим сетям ООО "Ростсельмашэнерго" на 2016 год установлены Постановлением РСТ РО № 79/17 от 24.12.2015. Источник официального опубликования решения: Официальный портал правовой информации РО pravo.donland.ru от 30.12.2015 № 6145201512300072
Размер платы за технологическое присоединение по индивидуальному тарифу устанавливается РСТ РО отдельно по каждому обращению.</t>
  </si>
  <si>
    <r>
      <t xml:space="preserve">16) Тариф на передачу электроэнергии (мощности) по сетям ООО «Ростсельмашэнерго» </t>
    </r>
    <r>
      <rPr>
        <b/>
        <sz val="11"/>
        <color indexed="8"/>
        <rFont val="Calibri"/>
        <family val="2"/>
        <charset val="204"/>
      </rPr>
      <t>с 01.01.2017 г по 30.06.2017 г</t>
    </r>
    <r>
      <rPr>
        <sz val="11"/>
        <color theme="1"/>
        <rFont val="Calibri"/>
        <family val="2"/>
        <charset val="204"/>
        <scheme val="minor"/>
      </rPr>
      <t xml:space="preserve">
Одноставочный тариф: 
- 0,46035 руб./кВт*ч 
Двухставочный тариф: 
- Ставка на оплату технологических потерь 0,13705 руб./кВт*ч 
- Ставка на содержание сетей 73,19353 руб./кВт*мес 
установленного Постановлением РСТ Ростовской области от 25.12.2014 г. № 85/3 с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 постановлением РСТ РО от 10.11.2016 № 58/1; источник официального опубликования решения: Официальный портал правовой информации РО pravo.donland.ru от 21.11.2016 № 6145201611210012</t>
    </r>
  </si>
  <si>
    <t>Набор слесарного инструмента</t>
  </si>
  <si>
    <t>0009103744</t>
  </si>
  <si>
    <t>Набор торцевых головок 8-32мм</t>
  </si>
  <si>
    <t>0009104564</t>
  </si>
  <si>
    <t>Набор фрез концевых 3-36мм</t>
  </si>
  <si>
    <t>0009104565</t>
  </si>
  <si>
    <t>Сверло с ц/хв ф 4,0</t>
  </si>
  <si>
    <t>0000913027</t>
  </si>
  <si>
    <t>Сверло с ц/хв ф 5,0</t>
  </si>
  <si>
    <t>0000913028</t>
  </si>
  <si>
    <t>Сверло с ц/хв Ф 6,0</t>
  </si>
  <si>
    <t>0000913050</t>
  </si>
  <si>
    <t>Сверло с ц/хв ф 7,0</t>
  </si>
  <si>
    <t>0000913030</t>
  </si>
  <si>
    <t>Сверло с ц/хв Ф 8,0</t>
  </si>
  <si>
    <t>0000913090</t>
  </si>
  <si>
    <t>Сверло с ц/хв Ф 9,0</t>
  </si>
  <si>
    <t>0003616065</t>
  </si>
  <si>
    <t>Сверло ударопрочное для перфоратора 10х260мм</t>
  </si>
  <si>
    <t>0003616067</t>
  </si>
  <si>
    <t>Сверло ударопрочное для перфоратора 16х310мм</t>
  </si>
  <si>
    <t>0003616062</t>
  </si>
  <si>
    <t>Сверло ударопрочное для перфоратора 22х520мм</t>
  </si>
  <si>
    <t>0003616063</t>
  </si>
  <si>
    <t>Сверло ударопрочное для перфоратора 8х210мм</t>
  </si>
  <si>
    <t>0000913143</t>
  </si>
  <si>
    <t>сверло с кон/хв ф 15</t>
  </si>
  <si>
    <t>0009102184</t>
  </si>
  <si>
    <t>Тиски слесарные 100 мм</t>
  </si>
  <si>
    <t>0009102076</t>
  </si>
  <si>
    <t>Тиски слесарные 140 мм</t>
  </si>
  <si>
    <t>0009102176</t>
  </si>
  <si>
    <t>Тиски слесарные 150 мм</t>
  </si>
  <si>
    <t>0003704502</t>
  </si>
  <si>
    <t>Тиски слесарные 200 мм</t>
  </si>
  <si>
    <t>0009103237</t>
  </si>
  <si>
    <t>Топор 1,2кг</t>
  </si>
  <si>
    <t>0009102220</t>
  </si>
  <si>
    <t>Топор 800 гр</t>
  </si>
  <si>
    <t>0009104593</t>
  </si>
  <si>
    <t>Тросорез Т-30 (трос до 14мм или СИП до 400мм)</t>
  </si>
  <si>
    <t>0003704698</t>
  </si>
  <si>
    <t>Шкурка шлифовальная №10 на б/основе</t>
  </si>
  <si>
    <t>0002901052</t>
  </si>
  <si>
    <t>Шкурка шлифовальная №10 на т/основе</t>
  </si>
  <si>
    <t>0003704696</t>
  </si>
  <si>
    <t>Шкурка шлифовальная №12 на б/основе</t>
  </si>
  <si>
    <t>0003704699</t>
  </si>
  <si>
    <t>Шкурка шлифовальная №12 на т/основе</t>
  </si>
  <si>
    <t>0003704697</t>
  </si>
  <si>
    <t>Шкурка шлифовальная №8 на б/основе</t>
  </si>
  <si>
    <t>0002901048</t>
  </si>
  <si>
    <t>Шкурка шлифовальная №8 на т/основе</t>
  </si>
  <si>
    <t>0009103234</t>
  </si>
  <si>
    <t>Шлифмашина угловая Интерскол УШМ-125 900Вт</t>
  </si>
  <si>
    <t>0009003714</t>
  </si>
  <si>
    <t>Штангенциркуль 250мм</t>
  </si>
  <si>
    <t>0003704694</t>
  </si>
  <si>
    <t>Штангенциркуль 500мм</t>
  </si>
  <si>
    <t>0007318060</t>
  </si>
  <si>
    <t>Шубка к валику меховая 200 мм</t>
  </si>
  <si>
    <t>0007318059</t>
  </si>
  <si>
    <t>Шубка к валику поролоновая 150 мм</t>
  </si>
  <si>
    <t>0007318088</t>
  </si>
  <si>
    <t>Щетка проволочная 4-х рядная</t>
  </si>
  <si>
    <t>0007318050</t>
  </si>
  <si>
    <t>Щетка-сметка</t>
  </si>
  <si>
    <t>0009103768</t>
  </si>
  <si>
    <t>Амперметр М381 0-10 А</t>
  </si>
  <si>
    <t>Преобразователь NPort 5232</t>
  </si>
  <si>
    <t>0009104333</t>
  </si>
  <si>
    <t>Вольтметр М 381(0-400)</t>
  </si>
  <si>
    <t>0006937085</t>
  </si>
  <si>
    <t>Измеритель-регулятор 2ТРМ1-Щ2.У.РР</t>
  </si>
  <si>
    <t>Измеритель ПТФ-1</t>
  </si>
  <si>
    <t>0003704715</t>
  </si>
  <si>
    <t>Клещи токоизмерительные М 266 С</t>
  </si>
  <si>
    <t>0003704932</t>
  </si>
  <si>
    <t>Мегаомметр цифровой Е6-24</t>
  </si>
  <si>
    <t>0003608032</t>
  </si>
  <si>
    <t>Мегаомметр ЭС 0202/2-Г ГОСT 22261-94</t>
  </si>
  <si>
    <t>0009104686</t>
  </si>
  <si>
    <t>Микроомметр ИКС-5</t>
  </si>
  <si>
    <t>0009103741</t>
  </si>
  <si>
    <t>Мультиметр АРРА-17</t>
  </si>
  <si>
    <t>0009103634</t>
  </si>
  <si>
    <t>Мультиметр АРРА-207</t>
  </si>
  <si>
    <t>0009104559</t>
  </si>
  <si>
    <t>Мультиметр АРРА-А10+</t>
  </si>
  <si>
    <t>0009103618</t>
  </si>
  <si>
    <t>Потенциометр ПП3-11-10кОм±10%</t>
  </si>
  <si>
    <t>0009103619</t>
  </si>
  <si>
    <t>Потенциометр ПП3-11-470 Ом±10%</t>
  </si>
  <si>
    <t>0003703892</t>
  </si>
  <si>
    <t>Регистратор показателей качества электроэнергии Па</t>
  </si>
  <si>
    <t>0003703862</t>
  </si>
  <si>
    <t>Регистратор РР-1У1</t>
  </si>
  <si>
    <t>0003608392</t>
  </si>
  <si>
    <t>Счетчик электрический СЭТ3р-01-22-08А/1п, 100/57,7</t>
  </si>
  <si>
    <t>0009104586</t>
  </si>
  <si>
    <t>Счетчик электрический СЭТ-4ТМ.02.2(0,5/1)-14</t>
  </si>
  <si>
    <t>0003629077</t>
  </si>
  <si>
    <t>Термометр ТКП-160 Сг-М2(0-120)-1,5-1,6-А, 160 мм 16 мм</t>
  </si>
  <si>
    <t>0009103658</t>
  </si>
  <si>
    <t>Термометр ТКП-160 Сг-М2(0-120)-1,5-1,6-А, 160мм т/б 12</t>
  </si>
  <si>
    <t>0009104590</t>
  </si>
  <si>
    <t>Термометр ТКП-160 Сг-М2(0-120)-1,5-6-А, 160мм, ф16 мм</t>
  </si>
  <si>
    <t>0009104107</t>
  </si>
  <si>
    <t>Термопреобразователь ТХА-0104-02, 131 мм</t>
  </si>
  <si>
    <t>0003607344</t>
  </si>
  <si>
    <t>Указатель напряжения УНК-0,4</t>
  </si>
  <si>
    <t>Комплект РТ2048-12</t>
  </si>
  <si>
    <t>Измеритель ПЗО-500 ПРО</t>
  </si>
  <si>
    <t>Стенд испытательный СВИ-53В</t>
  </si>
  <si>
    <t>0003704368</t>
  </si>
  <si>
    <t>Электросекундомер П-14-2М</t>
  </si>
  <si>
    <t>12.1.330</t>
  </si>
  <si>
    <t>0003102008</t>
  </si>
  <si>
    <t>Ацетон</t>
  </si>
  <si>
    <t>0009005957</t>
  </si>
  <si>
    <t>Жидкость ВД-40</t>
  </si>
  <si>
    <t>0009103262</t>
  </si>
  <si>
    <t>Жидкость незамерзающая</t>
  </si>
  <si>
    <t>0006942905</t>
  </si>
  <si>
    <t>Жидкость тормозная</t>
  </si>
  <si>
    <t>0003504019</t>
  </si>
  <si>
    <t>Масло М10Г2К</t>
  </si>
  <si>
    <t>0006701009</t>
  </si>
  <si>
    <t>Нефрас С2 80/120</t>
  </si>
  <si>
    <t>0003502017</t>
  </si>
  <si>
    <t>Смазка Литол-24 ГОСТ 6967-87</t>
  </si>
  <si>
    <t>0003502016</t>
  </si>
  <si>
    <t>Смазка Циатим 201</t>
  </si>
  <si>
    <t>0003704723</t>
  </si>
  <si>
    <t>Смазка Циатим 221, фасовка 0,9 кг</t>
  </si>
  <si>
    <t>0006943271</t>
  </si>
  <si>
    <t>Жидкость тормозная РосДОТ-4</t>
  </si>
  <si>
    <t>0003504086</t>
  </si>
  <si>
    <t>Тосол А-40</t>
  </si>
  <si>
    <t>0003102010</t>
  </si>
  <si>
    <t>Уайтспирит</t>
  </si>
  <si>
    <t>0009103636</t>
  </si>
  <si>
    <t>Смазка графитная УСсА</t>
  </si>
  <si>
    <t>12.1.710</t>
  </si>
  <si>
    <t>Аппарат телефонный Panasonic TS 2351</t>
  </si>
  <si>
    <t>0002901096</t>
  </si>
  <si>
    <t>Кресло PRESTGE на колесах</t>
  </si>
  <si>
    <t>0002901094</t>
  </si>
  <si>
    <t>Стеллаж высокий узкий "Авантаж" В-838</t>
  </si>
  <si>
    <t>0001302102</t>
  </si>
  <si>
    <t>Стол эргономичный левый "Авантаж" В-824ПР</t>
  </si>
  <si>
    <t>0001301203</t>
  </si>
  <si>
    <t>Стул ISO C11(кож.зам.синий)</t>
  </si>
  <si>
    <t>0009104587</t>
  </si>
  <si>
    <t>Табурет</t>
  </si>
  <si>
    <t>0002901082</t>
  </si>
  <si>
    <t>Тумба под оргтехнику "Авантаж" В-820</t>
  </si>
  <si>
    <t>0001302103</t>
  </si>
  <si>
    <t>Тумба подвесная "Авантаж" В-802</t>
  </si>
  <si>
    <t>0002901137</t>
  </si>
  <si>
    <t>Шкаф для одежды "Авантаж" В-891</t>
  </si>
  <si>
    <t>12.1.730</t>
  </si>
  <si>
    <t>0001302157</t>
  </si>
  <si>
    <t>Антистеплер</t>
  </si>
  <si>
    <t>0002901060</t>
  </si>
  <si>
    <t>Блок бумаги для заметок</t>
  </si>
  <si>
    <t>0002901141</t>
  </si>
  <si>
    <t>Блок бумаги для заметок в пластиковой подставке</t>
  </si>
  <si>
    <t>0001302044</t>
  </si>
  <si>
    <t>Бумага А3</t>
  </si>
  <si>
    <t>0001302002</t>
  </si>
  <si>
    <t>Бумага А4</t>
  </si>
  <si>
    <t>0009103942</t>
  </si>
  <si>
    <t>Бумага для заметок с липким слоем 38х50</t>
  </si>
  <si>
    <t>0009103943</t>
  </si>
  <si>
    <t>Бумага для заметок с липким слоем 51х76</t>
  </si>
  <si>
    <t>0001302119</t>
  </si>
  <si>
    <t>Бумага для заметок с липким слоем 76х76</t>
  </si>
  <si>
    <t>0009103933</t>
  </si>
  <si>
    <t>Бумага для факса</t>
  </si>
  <si>
    <t>0002901055</t>
  </si>
  <si>
    <t>Дырокол</t>
  </si>
  <si>
    <t>0009004098</t>
  </si>
  <si>
    <t>Карандаш простой ТМ</t>
  </si>
  <si>
    <t>0003704172</t>
  </si>
  <si>
    <t>Клей-карандаш</t>
  </si>
  <si>
    <t>0001302094</t>
  </si>
  <si>
    <t>Книга канцелярская 96л</t>
  </si>
  <si>
    <t>0002901099</t>
  </si>
  <si>
    <t>Кнопки канцелярские</t>
  </si>
  <si>
    <t>0002901057</t>
  </si>
  <si>
    <t>Корректор</t>
  </si>
  <si>
    <t>0002901100</t>
  </si>
  <si>
    <t>Краска штемпельная синяя</t>
  </si>
  <si>
    <t>0001302153</t>
  </si>
  <si>
    <t>Ластик</t>
  </si>
  <si>
    <t>0001302037</t>
  </si>
  <si>
    <t>Линейка 30 см</t>
  </si>
  <si>
    <t>0002901119</t>
  </si>
  <si>
    <t>Лоток для бумаг вертикальный</t>
  </si>
  <si>
    <t>0004209037</t>
  </si>
  <si>
    <t>Лоток для бумаг горизонтальный</t>
  </si>
  <si>
    <t>0002901127</t>
  </si>
  <si>
    <t>г) утвержденные территориальной сетевой организацией в установленном порядке формы отчетности о работе с заявителями и потребителями услуг, шт.</t>
  </si>
  <si>
    <t>2.1. Количество обращений потребителей услуг с указанием на ненадлежащее качество электрической энергии, процентов от общего количества поступивших обращений</t>
  </si>
  <si>
    <t>2.6. Количество реализованных изменений в деятельности организации, направленных на повышение качества обслуживания потребителей услуг, шт.</t>
  </si>
  <si>
    <t>2. Наличие телефонной связи для обращений потребителей услуг к уполномоченным должностным лицам территориальной сетевой организации</t>
  </si>
  <si>
    <t>3. Наличие взаимодействия с потребителями услуг при выводе оборудования в ремонт и (или) из эксплуатации</t>
  </si>
  <si>
    <t>3. Оперативность реагирования на обращения потребителей услуг - всего</t>
  </si>
  <si>
    <t>1.2. а)</t>
  </si>
  <si>
    <t>1.2. б)</t>
  </si>
  <si>
    <t>2.1. Наличие единого телефонного номера для приема обращений потребителей услуг (наличие - 1, отсутствие - 0)</t>
  </si>
  <si>
    <t>3.1. Наличие (отсутствие) установленной процедуры согласования с потребителями услуг графиков вывода электросетевого оборудования в ремонт и (или) из эксплуатации (наличие - 1, отсутствие - 0)</t>
  </si>
  <si>
    <t>3.1. Средняя продолжительность времени принятия мер по результатам обращения потребителя услуг, дней</t>
  </si>
  <si>
    <t>1.2. в)</t>
  </si>
  <si>
    <t>2.2. Наличие информационно-справочной системы для автоматизации обработки обращений потребителей услуг, поступивших по телефону (наличие - 1, отсутствие - 0)</t>
  </si>
  <si>
    <t>3.2.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(или) из эксплуатации, процентов от общего количества поступивших обр</t>
  </si>
  <si>
    <t>1. Замену масляных выключателей У-110 присоединений Р1-Р37, ГВ-1 главной понизительной подстанции 110/6 кВ ГПП-1 (РСМ) на элегазовые ВГП-110 с установкой трансформаторов тока ТГФМ-110, модернизацией цепей управления, защиты, блокировки и сигнализации присоединений ОРУ-110кВ  ГПП-1, строительным ремонтом опорных площадок, заменой кабельной канализации вторичных цепей ОРУ-110кВ  ГПП-1.
2. Перевод главной понизительной подстанции ГПП-3 110/6 кВ в режим распределительного устройтва 6 кВ, с обеспечением питания от ЗРУ-6 кВ ГПП-1 по кабельным линиям связи, реконструкцией схемы силовых и вторичных цепей ячеек вводных и секционных выключателей ГПП-3, ячеек питающих линий на ГПП-1, реконструкцией схемы питания и распределения оперативных цепей ГПП-3, ремонтом строительной части ГПП-3.
3. Замену трансформатора №2 типа ТДН-25000/110 и трансформатора №4 типа ТДН-40000/110 ГПП-1 на трансформаторы типа ТРДН-40000/110, демонтируемые с ГПП-3, с проведением их капитального ремонта; реконструкцию схемы защит с возможностью подключения обоих трансформаторов к 1-ой и 2-ой секции шин 110 кВ; реконструкцию силовых и вторичных цепей вводных ячеек 6 кВ обоих трансформаторов; реконструкцию строительной части ОРУ-110 кВ ГПП-1.
4. Реконструкцию схемы оперативного постоянного тока 0,23 кВ и схемы собственных нужд 0,4 кВ ГПП-1 с заменой зарядно-подзарядных устройств, а также шитов
постоянного и переменного тока.</t>
  </si>
  <si>
    <t>Этапы проекта</t>
  </si>
  <si>
    <t>0001302072</t>
  </si>
  <si>
    <t>Папка с пружинным скоросшивателем А4</t>
  </si>
  <si>
    <t>0001302048</t>
  </si>
  <si>
    <t>Папка скоросшиватель картонная А4</t>
  </si>
  <si>
    <t>0009004097</t>
  </si>
  <si>
    <t>Папка скоросшиватель пластиковая А4</t>
  </si>
  <si>
    <t>0001302075</t>
  </si>
  <si>
    <t>Папка уголок А4</t>
  </si>
  <si>
    <t>0002901073</t>
  </si>
  <si>
    <t>Папка-регистратор "Корона" 50мм</t>
  </si>
  <si>
    <t>0003704167</t>
  </si>
  <si>
    <t>Папка-регистратор "Корона" 70мм</t>
  </si>
  <si>
    <t>0001302154</t>
  </si>
  <si>
    <t>Ручка гелевая синяя</t>
  </si>
  <si>
    <r>
      <t xml:space="preserve">17) Тариф на передачу электроэнергии (мощности) по сетям ООО «Ростсельмашэнерго» </t>
    </r>
    <r>
      <rPr>
        <b/>
        <sz val="11"/>
        <color indexed="8"/>
        <rFont val="Calibri"/>
        <family val="2"/>
        <charset val="204"/>
      </rPr>
      <t>с 01.07.2017 г по 31.12.2017 г</t>
    </r>
    <r>
      <rPr>
        <sz val="11"/>
        <color theme="1"/>
        <rFont val="Calibri"/>
        <family val="2"/>
        <charset val="204"/>
        <scheme val="minor"/>
      </rPr>
      <t xml:space="preserve">
Одноставочный тариф: 
- 0,46035 руб./кВт*ч 
Двухставочный тариф: 
- Ставка на оплату технологических потерь 0,13705 руб./кВт*ч 
- Ставка на содержание сетей 62,17431 руб./кВт*мес 
установленного Постановлением РСТ Ростовской области от 25.12.2014 г. № 85/3 с изменениями, внесенными постановлением РСТ РО от 22.12.2015 № 78/9; источник официального опубликования решения: Официальный портал правовой информации РО pravo.donland.ru от 30.12.2015 № 6145201512300036, постановлением РСТ РО от 10.11.2016 № 58/1; источник официального опубликования решения: Официальный портал правовой информации РО pravo.donland.ru от 21.11.2016 № 6145201611210012</t>
    </r>
  </si>
  <si>
    <t>18) Стандартизированные ставки и ставки за единицу максимальной мощности за технологическое присоединение энергопринимающих устройств к распределительным электрическим сетям ООО "Ростсельмашэнерго" на 2017 год установлены Постановлением РСТ РО № 80/22 от 29.12.2016. Источник официального опубликования решения: Официальный портал правовой информации РО pravo.donland.ru от 31.12.2016 № 6145201612310037. 
Размер платы за технологическое присоединение по индивидуальному тарифу устанавливается РСТ РО отдельно по каждому обращению.</t>
  </si>
  <si>
    <t>19) Размер платы за технологическое присоединение энергопринимающих устройств ПАО «Роствертол», максимальной мощностью 12 МВт, по II категории надежности, на уровне напряжения 110 кВ, расположенных по адресу: Ростовская область, г. Ростов-на-Дону, ул. Новаторов, 5, в целях присоединения энергопринимающих устройств ПС 110/6 ПАО «Роствертол», к электрическим сетям ООО «Ростсельмашэнерго» в соответствии с Постановлением РСТ РО от 08.12.2016 № 68/1 составляет 180,84 руб. без НДС.</t>
  </si>
  <si>
    <t>Трансивер УКВ Ic-F3GS</t>
  </si>
  <si>
    <t>253</t>
  </si>
  <si>
    <t>Трансформатор напряжения НКФ-110  </t>
  </si>
  <si>
    <t>254</t>
  </si>
  <si>
    <t>Трансформатор тока ТПЛ-10, 400/5 0,5S</t>
  </si>
  <si>
    <t>255</t>
  </si>
  <si>
    <t>Трансформатор тока ТПЛК-10, 300/5 0,5S</t>
  </si>
  <si>
    <t>256</t>
  </si>
  <si>
    <t>Трансформатор тока ТПЛК-10, 400/5 0,5S</t>
  </si>
  <si>
    <t>257</t>
  </si>
  <si>
    <t>Трансформатор тока ТПОЛ-10, 400/5 0,5S</t>
  </si>
  <si>
    <t>258</t>
  </si>
  <si>
    <t>Трансформатор тока ТПОЛ-10, 600/5 0,5S</t>
  </si>
  <si>
    <t>259</t>
  </si>
  <si>
    <t>Трансформатор тока ТПЛ-10, 600/5 0,5S</t>
  </si>
  <si>
    <t>260</t>
  </si>
  <si>
    <t>Трансформатор тока ТОЛ-10, 400/5 0,5S</t>
  </si>
  <si>
    <t>261</t>
  </si>
  <si>
    <t>0003704658</t>
  </si>
  <si>
    <t>Трансформатор ОСМ 220/110 160Вт</t>
  </si>
  <si>
    <t>262</t>
  </si>
  <si>
    <t>0003704659</t>
  </si>
  <si>
    <t>Трансформатор разделительный ОСМ1-0,063 УЗ 220/220</t>
  </si>
  <si>
    <t>263</t>
  </si>
  <si>
    <t>0009103865</t>
  </si>
  <si>
    <t>Трубка термоусаживаемая ТУТнг 16/8 черная</t>
  </si>
  <si>
    <t>264</t>
  </si>
  <si>
    <t>0009103864</t>
  </si>
  <si>
    <t>Трубка термоусаживаемая ТУТнг 30/15 черная</t>
  </si>
  <si>
    <t>265</t>
  </si>
  <si>
    <t>0009103867</t>
  </si>
  <si>
    <t>Трубка термоусаживаемая ТУТнг 4/2 белая</t>
  </si>
  <si>
    <t>266</t>
  </si>
  <si>
    <t>0009103866</t>
  </si>
  <si>
    <t>Трубка термоусаживаемая ТУТнг 8/4 черная</t>
  </si>
  <si>
    <t>267</t>
  </si>
  <si>
    <t>0009103763</t>
  </si>
  <si>
    <t>Штанга оперативная универсальная ШОУ-15</t>
  </si>
  <si>
    <t>268</t>
  </si>
  <si>
    <t>0009103764</t>
  </si>
  <si>
    <t>Штанга оперативная ШО-1</t>
  </si>
  <si>
    <t>269</t>
  </si>
  <si>
    <t>0009103732</t>
  </si>
  <si>
    <t>№ 1195</t>
  </si>
  <si>
    <t>МОУ СОШ №75, № 93 от 06.08.2009</t>
  </si>
  <si>
    <t>№ 2109/09 от 22.10.2009</t>
  </si>
  <si>
    <t>заявка отменена</t>
  </si>
  <si>
    <t>№ 1196</t>
  </si>
  <si>
    <t>МОУ Лицей №20, № 93 от 06.08.2009</t>
  </si>
  <si>
    <t>№ 2108/09 от 22.10.2009</t>
  </si>
  <si>
    <t>№ 1260</t>
  </si>
  <si>
    <t>Аскерханова А.Х. ул. Промышленная 26</t>
  </si>
  <si>
    <t>№2988/10 от 28.10.2010</t>
  </si>
  <si>
    <t>№5/5 от 31.03.2011</t>
  </si>
  <si>
    <t>№ 102</t>
  </si>
  <si>
    <t>ЗАО "Юит Дон", ул. 1-й Конной Армии,37</t>
  </si>
  <si>
    <t>№ 934/11 от 15.04.2011</t>
  </si>
  <si>
    <t>№138002/25/11/960/2509-1-1-4895 от 26.10.2011</t>
  </si>
  <si>
    <t>оплачено 09.12.2011 г.</t>
  </si>
  <si>
    <t>№ 821/98 08.02.2012 г.</t>
  </si>
  <si>
    <t>№2781 от 27.05.2011</t>
  </si>
  <si>
    <t>ноябрь 2011 г.</t>
  </si>
  <si>
    <t>№ 101</t>
  </si>
  <si>
    <t>Жилой комплекс, ул. Ленина 140а</t>
  </si>
  <si>
    <t>№ 2588/11 от 17.08.2011</t>
  </si>
  <si>
    <t>№148353/25/12 от 26.04.2012</t>
  </si>
  <si>
    <t>140 934,89 (11.04.2013)</t>
  </si>
  <si>
    <t>акт тех присоед. № 70975 от 06.05.2013 г.</t>
  </si>
  <si>
    <t>б/н</t>
  </si>
  <si>
    <t>Жилые дома по ул. Чкалова 36, 36А, 38А, 40а</t>
  </si>
  <si>
    <t>№ РЭ/ФО-РнД/477/12 от 16.07.2012</t>
  </si>
  <si>
    <t>№32300-12-00103651-4 от 20.12.12</t>
  </si>
  <si>
    <t>66272,08 (25.10.2013)</t>
  </si>
  <si>
    <t>акт тех присоед №73473 от 31.10.13</t>
  </si>
  <si>
    <t>№ 42/4 от 02.11.2012</t>
  </si>
  <si>
    <t>Гостиница, ул. Плужная, 16</t>
  </si>
  <si>
    <t>№ РЭ/ФО-РнД/618/12 от 12.09.2012</t>
  </si>
  <si>
    <t>№32300-12-00110713-4 от 20.12.12</t>
  </si>
  <si>
    <t>66272,08 (11.11.2013)</t>
  </si>
  <si>
    <t>№91573 от 25.07.14, акт ТУ 000246819 от 25.07.14</t>
  </si>
  <si>
    <t>№ 47/1 от 28.11.2012</t>
  </si>
  <si>
    <t xml:space="preserve"> - </t>
  </si>
  <si>
    <t>Объекты, присоединяемые к сетям ОАО "Коммунальщик Дона"</t>
  </si>
  <si>
    <t>№ РЭ/ФО-РнД/432/13 от 29.05.2013</t>
  </si>
  <si>
    <t>№32300-13-00136981-1 от 22.10.13 (ДС от 22.05.14)</t>
  </si>
  <si>
    <t>63092,37 ( 16.02.2015)</t>
  </si>
  <si>
    <t>№112393 от 25.07.2014, акт ТУ №000276881 от 25.07.2014</t>
  </si>
  <si>
    <t>№6/1 от 18.02.2014</t>
  </si>
  <si>
    <t>без договора</t>
  </si>
  <si>
    <t>№ РЭ/ФО-РнД/931/13 от 04.10.2013</t>
  </si>
  <si>
    <t>№32300-13-00148801-1 от 22.05.14 (протокол от 22.05.14)</t>
  </si>
  <si>
    <t>Кабель МКЭШ 5х0,75</t>
  </si>
  <si>
    <t>0003408018</t>
  </si>
  <si>
    <t>Канифоль сосновая</t>
  </si>
  <si>
    <t>0003411272</t>
  </si>
  <si>
    <t>Кислород</t>
  </si>
  <si>
    <t>0009104537</t>
  </si>
  <si>
    <t>Лампа 12х60</t>
  </si>
  <si>
    <t>0003704741</t>
  </si>
  <si>
    <t>Лампа 2,5х0,2</t>
  </si>
  <si>
    <t>Лампа ДРИ-70 Е27</t>
  </si>
  <si>
    <t>Лампа ДНаТ-70</t>
  </si>
  <si>
    <t>Лампа МГЛ 70Вт Е27</t>
  </si>
  <si>
    <t>Лампа энергосберегающая Е27 20 Вт</t>
  </si>
  <si>
    <t>Лампа энергосберегающая Е27 30 Вт</t>
  </si>
  <si>
    <t>Лампа энергосберегающая Е27 50 Вт</t>
  </si>
  <si>
    <t>Лампа энергосберегающая Е27 40 Вт</t>
  </si>
  <si>
    <t>0003611027</t>
  </si>
  <si>
    <t>Лампа 220х40</t>
  </si>
  <si>
    <t>0003704742</t>
  </si>
  <si>
    <t>Лампа 220х60</t>
  </si>
  <si>
    <t>0009003804</t>
  </si>
  <si>
    <t>Лампа 220х75</t>
  </si>
  <si>
    <t>Лампа СКЛ-11А-К-2-220</t>
  </si>
  <si>
    <t>Лампа СКЛ-11А-Л-2-220</t>
  </si>
  <si>
    <t>Лампа СКЛ-11А-Б-2-220</t>
  </si>
  <si>
    <t>0003611827</t>
  </si>
  <si>
    <t>Фактический доход от деятельности по передаче эл.энергии (мощности) через сети ООО "РСМЭ" абонента МРСК-Ростовэнерго в 2016 г. по ВН</t>
  </si>
  <si>
    <t>Плановый доход от деятельности по передаче эл.энергии (мощности) через сети ООО "РСМЭ" абонента МРСК-Ростовэнерго в 2017 г. по ВН</t>
  </si>
  <si>
    <t>Объем эл.эн.2017г., кВтч</t>
  </si>
  <si>
    <t>Фактический доход от деятельности по передаче эл.энергии (мощности) через сети ООО "РСМЭ" абонента МРСК-Ростовэнерго в 2017 г. по ВН</t>
  </si>
  <si>
    <t>п.п. 11 Б-3</t>
  </si>
  <si>
    <t>Ед. изм.</t>
  </si>
  <si>
    <t>итого</t>
  </si>
  <si>
    <t>Потреблено эл.энергии (мощности) по ВН</t>
  </si>
  <si>
    <t>кВтч</t>
  </si>
  <si>
    <t>Потреблено эл.энергии (мощности) на потери по ВН</t>
  </si>
  <si>
    <t>Потреблено эл.энергии на потери / потреблено на потери по ВН</t>
  </si>
  <si>
    <t>%</t>
  </si>
  <si>
    <t>Стоимость 1 кВтч эл. энергии по РД</t>
  </si>
  <si>
    <t>руб./кВтч</t>
  </si>
  <si>
    <t>Стоимость 1 кВтч эл. энергии по нерег. Ценам</t>
  </si>
  <si>
    <t>Объем эл. энергии по РД</t>
  </si>
  <si>
    <t>Объем эл. энергии по нерег ценам</t>
  </si>
  <si>
    <t>Стоимость потребленной эл. энергии</t>
  </si>
  <si>
    <t>руб.</t>
  </si>
  <si>
    <t>Средневзвешенная стоимость эл. энергии (мощности)</t>
  </si>
  <si>
    <t xml:space="preserve">Стоимость потребленной эл. энергии без учета трансфертов </t>
  </si>
  <si>
    <t>Потреблено эл.энергии (мощности) по СН-II</t>
  </si>
  <si>
    <t>2017 г.</t>
  </si>
  <si>
    <t>п.п. 11 Б-4</t>
  </si>
  <si>
    <t>Затраты организации на покупку потерь в собственных сетях по ВН у ООО "Ростсельмашэнергосбыт", руб. в 2009 г.:</t>
  </si>
  <si>
    <t>Потреблено эл.энергии (мощности) на потери</t>
  </si>
  <si>
    <t>Стоимость 1 кВтч потерь по РД</t>
  </si>
  <si>
    <t>Стоимость 1 кВтч потерь по нерегулируемым ценам</t>
  </si>
  <si>
    <t>Объем потерь по РД</t>
  </si>
  <si>
    <t>Объем потерь по нерег ценам</t>
  </si>
  <si>
    <t>Стоимость потребленной эл. энергии на потери</t>
  </si>
  <si>
    <t>Средневзвешенная стоимость потерь эл. энергии (мощности)</t>
  </si>
  <si>
    <t>Затраты организации на покупку потерь в собственных сетях по ВН у ООО "Ростсельмашэнергосбыт", руб. в 2010 г.:</t>
  </si>
  <si>
    <t xml:space="preserve">Потреблено эл.энергии (мощности) </t>
  </si>
  <si>
    <t>Затраты организации на покупку потерь в собственных сетях по ВН у ООО "Ростсельмашэнергосбыт", руб. в 2011 г.:</t>
  </si>
  <si>
    <t>Стоимость 1 кВтч эл. энергии по нерег.  ценам</t>
  </si>
  <si>
    <t>Затраты организации на покупку потерь в собственных сетях по ВН у ООО "Ростсельмашэнергосбыт", руб. в 2012 г.:</t>
  </si>
  <si>
    <t>Затраты организации на покупку потерь в собственных сетях по ВН у ООО "Ростсельмашэнергосбыт", руб. в 2013 г.:</t>
  </si>
  <si>
    <t>Затраты организации на покупку потерь в собственных сетях по ВН у ООО "Ростсельмашэнергосбыт", руб. в 2014 г.:</t>
  </si>
  <si>
    <t>Затраты организации на покупку потерь в собственных сетях по ВН у ООО "Ростсельмашэнергосбыт", руб. в 2015 г.:</t>
  </si>
  <si>
    <t>Утверждено в  составе тарифа на услуги по передаче электроэнергии</t>
  </si>
  <si>
    <t>п.п. 11 Б-5</t>
  </si>
  <si>
    <t>Уровень нормативных потерь утвержденный приказом МЭ РФ от 12.11..2008 г. №174 на 2009 г.:</t>
  </si>
  <si>
    <t>отпуск электроэнергии в сеть 214 580 тыс. кВтч;</t>
  </si>
  <si>
    <t>норматив технологических потерь электроэнергии при ее передачи по электрическим сетям на 2009 год 4,54 % от отпуска в сеть</t>
  </si>
  <si>
    <t>Уровень нормативных потерь утвержденный приказом МЭ РФ от 22.11.2010 г. №562 на 2011 г.:</t>
  </si>
  <si>
    <t>- отпуск электроэнергии в сеть 160'080 тыс. кВтч;</t>
  </si>
  <si>
    <t>- норматив технологических потерь электроэнергии при ее передачи по электрическим сетям на 2011 год 6,2 % от отпуска в сеть</t>
  </si>
  <si>
    <t>Уровень нормативных потерь утвержденный приказом МЭ РФ от 22.11.2010 г. №562 на 2012 г.:</t>
  </si>
  <si>
    <t>Информация о выводе в ремонт и вводе в эксплуатацию объектов электросетевого хозяйства, участвующих в передаче электроэнергии (мощности) в 2013 г.</t>
  </si>
  <si>
    <t>I секция ОРУ-110 кВ ГПП-4</t>
  </si>
  <si>
    <t>15.07.2013 г.</t>
  </si>
  <si>
    <t>17.07.2013 г.</t>
  </si>
  <si>
    <t>II секция ОРУ-110 кВ ГПП-4</t>
  </si>
  <si>
    <t>22.07.2013 г.</t>
  </si>
  <si>
    <t>24.07.2013 г.</t>
  </si>
  <si>
    <t>05.08.2013 г.</t>
  </si>
  <si>
    <t>Сетевая организация несет перед заявителем ответственность за неприглашение на процедуру допуска прибора учета электрической энергии к эксплуатации субъектов розничных рынков, указанных в настоящем пункте, в сроки и в порядке, которые предусмотрены разделом X Основных положений функционирования розничных рынков электрической энергии, и обязана в этом случае возместить заявителю расходы, понесенные им в результате применения расчетных способов определения объемов безучетного потребления электрической энергии в отношении соответствующих энергопринимающих устройств.</t>
  </si>
  <si>
    <t>Для допуска к эксплуатации установленного в процессе технологического присоединения прибора учета электрической энергии сетевая организация обязана в сроки и в порядке, которые предусмотрены разделом X Основных положений функционирования розничных рынков электрической энергии, обеспечить приглашение для участия в процедуре указанного допуска субъекта розничного рынка, указанного в заявке, с которым заявитель намеревается заключить договор энергоснабжения (купли-продажи (поставки) электрической энергии (мощности)), либо субъекта розничного рынка, с которым заявителем заключен указанный договор, а также иных субъектов розничных рынков, приглашение которых для допуска к эксплуатации прибора учета электрической энергии является обязательным в соответствии с Основными положениями функционирования розничных рынков электрической энергии.</t>
  </si>
  <si>
    <t>30.04.2017 г.</t>
  </si>
  <si>
    <t>06.05.2017 г.</t>
  </si>
  <si>
    <t>22.05.2017 г.</t>
  </si>
  <si>
    <t>24.05.2017 г.</t>
  </si>
  <si>
    <t>19.06.2017 г.</t>
  </si>
  <si>
    <t>22.06.2017 г.</t>
  </si>
  <si>
    <t>26.09.2017 г.</t>
  </si>
  <si>
    <t>01.10.2017 г.</t>
  </si>
  <si>
    <t>3.2. Взаимодействие территориальной сетевой организации с потребителями услуг с целью получения информации о качестве обслуживания, реализованное посредством:</t>
  </si>
  <si>
    <t>1.2. г)</t>
  </si>
  <si>
    <t>2.3. Наличие системы автоинформирования потребителей услуг по телефону, предназначенной для доведения до них типовой информации (наличие - 1, отсутствие - 0)</t>
  </si>
  <si>
    <t>4. Соблюдение требований нормативных правовых актов по защите персональных данных потребителей услуг (заявителей), по критерию</t>
  </si>
  <si>
    <t>а) письменных опросов, шт. на 1000 потребителей услуг</t>
  </si>
  <si>
    <t>3.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(наличие - 1, отсутствие - 0)</t>
  </si>
  <si>
    <t>4.1. Количество обращений потребителей услуг (заявителей) с указанием на неправомерность использования персональных данных потребителей услуг (заявителей), процентов от общего количества поступивших обращений</t>
  </si>
  <si>
    <t>б) электронной связи через сеть Интернет, шт. на 1000 потребителей услуг</t>
  </si>
  <si>
    <t>4. Проведение мероприятий по доведению до сведения потребителей услуг необходимой информации, в том числе путем ее размещения в сети Интернет, на бумажных носителях или иными доступными способами (проведение - 1, отсутствие - 0)</t>
  </si>
  <si>
    <t>5. Итого по индикатору исполнительности</t>
  </si>
  <si>
    <t>в) системы автоинформирования, шт. на 1000 потребителей услуг &lt;1&gt;</t>
  </si>
  <si>
    <t>5. Простота и доступность схемы обжалования потребителями услуг действий должностных лиц территориальной сетевой организации, по критерию</t>
  </si>
  <si>
    <t>4. Индивидуальность подхода к потребителям услуг льготных категорий, по критерию</t>
  </si>
  <si>
    <t>5.1. Общее количество обращений потребителей услуг о проведении консультаций по порядку обжалования действий (бездействия) территориальной сетевой организации в ходе исполнения своих функций, процентов от общего количества поступивших обращений</t>
  </si>
  <si>
    <t>Должность Ф.И.О. Подпись</t>
  </si>
  <si>
    <t>4.1. Количество обращений потребителей услуг льготных категорий с указанием на неудовлетворительность качества их обслуживания, шт. на 1000 потребителей услуг</t>
  </si>
  <si>
    <t>6. Степень полноты, актуальности и достоверности предоставляемой потребителям услуг информации о деятельности территориальной сетевой организации - всего</t>
  </si>
  <si>
    <t>5. Оперативность возмещения убытков потребителям услуг при несоблюдении территориальной сетевой организацией обязательств, предусмотренных нормативными правовыми актами и договорами</t>
  </si>
  <si>
    <t>6.1.</t>
  </si>
  <si>
    <t>Плановое значение показателя надежности и качества услуг считается достигнутым электросетевой организацией по результатам расчетного периода регулирования, если фактическое значение показателя за соответствующий расчетный период регулирования соответствуе</t>
  </si>
  <si>
    <t>Показатель уровня качества оказываемых услуг территориальной сетевой организации, Птсо</t>
  </si>
  <si>
    <t>Плановое значение показателя Пп, Пп  пл</t>
  </si>
  <si>
    <t>Плановое значение показателя Птпртпр, Ппл</t>
  </si>
  <si>
    <t>Плановое значение показателя, Птсотсо, Ппл</t>
  </si>
  <si>
    <t>с улучшением:</t>
  </si>
  <si>
    <t xml:space="preserve">для остальных территориальных сетевых организаций - 35% на первые три расчетных периода регулирования и 30% </t>
  </si>
  <si>
    <t>Оценка достижения показателя уровня надежности оказываемых услуг,  Кнад</t>
  </si>
  <si>
    <t>пп. 7.1 методических указаний</t>
  </si>
  <si>
    <t>,</t>
  </si>
  <si>
    <t>на следующие расчетные периоды регулирования первого долгосрочного периода регулирования.</t>
  </si>
  <si>
    <t>Оценка достижения показателя уровня качества оказываемых услуг, Ккач (организации по управлению единой национальной (общероссийской) электрической сетью)</t>
  </si>
  <si>
    <t>------------------</t>
  </si>
  <si>
    <t>В последующие долгосрочные периоды регулирования коэффициенты снижаются, в случае достижения показателей, на 1% в год  до 25% для территориальных сетевых организаций.</t>
  </si>
  <si>
    <t>Оценка достижения показателя уровня качества оказываемых услуг, Ккач  (для территориальной сетевой организации)</t>
  </si>
  <si>
    <t xml:space="preserve">Форма 7.2 - Расчет обобщенного показателя уровня надежности и качества оказываемых услуг (для долгосрочных периодов регулирования, начавшихся до 2014 года)
</t>
  </si>
  <si>
    <t>Реконструкция ОРУ-110кВ  ГПП-1 с заменой масляных выключателей У-110 Т-1, Т-2, на элегазовые ВГТ-110 установкой трансформаторов тока ТРГ-110, адаптацией цепей управления, блокировки и сигнализации ВГТ-110 к существующим цепям ОРУ-110кВ ГПП-1, строительным ремонтом опорных площадок.</t>
  </si>
  <si>
    <t>Окончательные расчеты за поставку и наладку еще на 435 т.р. без НДС будут проведены уже в 1 кв. 2011 г.</t>
  </si>
  <si>
    <t>2011 (план)</t>
  </si>
  <si>
    <t>2011 (факт)</t>
  </si>
  <si>
    <t>Проектирование и реконструкция ОРУ-110 кВ  ГПП-1 с заменой масляного выключателя У-110 присоединения ГВ-2 на элегазовый ВГП-110</t>
  </si>
  <si>
    <t>тыс. руб. без НДС</t>
  </si>
  <si>
    <t>2012 (план РСТ РО)</t>
  </si>
  <si>
    <t>2012 (факт)</t>
  </si>
  <si>
    <t>Источники финансирования (РСТ РО)</t>
  </si>
  <si>
    <t>Реконструкция ОРУ-110 ПС 110/6 кВ ГПП-1</t>
  </si>
  <si>
    <t>2013 (план РСТ РО)</t>
  </si>
  <si>
    <t>2013 (факт)</t>
  </si>
  <si>
    <t>2014 (план РСТ РО)</t>
  </si>
  <si>
    <t>2014 (факт)</t>
  </si>
  <si>
    <t>2015 (план РСТ РО)</t>
  </si>
  <si>
    <t>2015 (факт)</t>
  </si>
  <si>
    <t>2016 (план РСТ РО)</t>
  </si>
  <si>
    <t>2016 (факт)</t>
  </si>
  <si>
    <t xml:space="preserve">
Реконструкция ПС 110/6 кВ ГПП-1, ПС 110/6 кВ ГПП-3</t>
  </si>
  <si>
    <t>Отчет о реализации инвестиционной программы и об обосновывающих материалах (в т.ч.выполненные закупки товаров, работ и услуг для реализации утвержденной инвестиционной программы) за 2016 г. расположен по ссылке:</t>
  </si>
  <si>
    <t>https://invest.gosuslugi.ru/epgu-forum/</t>
  </si>
  <si>
    <t>Выполненные закупки товаров, работ и услуг для реализации утвержденной инвестиционной программы за 2015 г.</t>
  </si>
  <si>
    <t>http://zakupki.gov.ru/223/purchase/public/purchase/info/common-info.html?noticeId=2367237&amp;epz=true&amp;style44=false</t>
  </si>
  <si>
    <t>http://zakupki.gov.ru/223/purchase/public/purchase/info/common-info.html?noticeId=2374035&amp;epz=true&amp;style44=false</t>
  </si>
  <si>
    <t>Техосвидетельствование фундамента Т2 ГПП-1</t>
  </si>
  <si>
    <t>http://zakupki.gov.ru/223/purchase/public/purchase/info/common-info.html?noticeId=2373939&amp;epz=true&amp;style44=false</t>
  </si>
  <si>
    <t>Проектирование перевода ГПП-3 в режим РП-6 кВ</t>
  </si>
  <si>
    <t>http://zakupki.gov.ru/223/purchase/public/purchase/info/common-info.html?noticeId=1947647&amp;epz=true&amp;style44=false</t>
  </si>
  <si>
    <t xml:space="preserve">Проектирование замены Т2 и Т4 ГПП-1 на ТРДН-40000/110 </t>
  </si>
  <si>
    <t>http://zakupki.gov.ru/223/purchase/public/purchase/info/common-info.html?noticeId=2119982&amp;epz=true&amp;style44=false</t>
  </si>
  <si>
    <t>Капитальный ремонт ячейки "КСО из камня" 6 кВ яч.17 (ф.ТСН-1) РУ-6-I  с заменой масляного выключателя ВМП-10 на коммутационный модуль ISM 15-LD-1(47)</t>
  </si>
  <si>
    <t>Восстановление ветровых перегородок градирни ТЭЦ</t>
  </si>
  <si>
    <t>Ремонт кровли над сетевыми насосами котельного цеха ст.№№ 1-5</t>
  </si>
  <si>
    <t>Ремонт кровли над участком циркуляционных насосов турбинного цеха</t>
  </si>
  <si>
    <t>Ремонт кровли над машинным залом турбинного цеха</t>
  </si>
  <si>
    <t>Ремонт задвижек Ду 200- Ду 600</t>
  </si>
  <si>
    <t xml:space="preserve">Антикоррозийное покрытие Na-катионитового фильтра № 7 </t>
  </si>
  <si>
    <t>Ремонт зданий котлов 1-7</t>
  </si>
  <si>
    <t>Ремонт зданий котлов 8-12</t>
  </si>
  <si>
    <t>21.07.2014 г.</t>
  </si>
  <si>
    <t>26.08.2014 г.</t>
  </si>
  <si>
    <t>01.09.2014 г.</t>
  </si>
  <si>
    <t>Информация о выводе в ремонт и вводе в эксплуатацию объектов электросетевого хозяйства, участвующих в передаче электроэнергии (мощности) в 2015 г.</t>
  </si>
  <si>
    <t>Период</t>
  </si>
  <si>
    <t>нет</t>
  </si>
  <si>
    <t>15.06.2015 г.</t>
  </si>
  <si>
    <t>17.06.2015 г.</t>
  </si>
  <si>
    <t>22.06.2015 г.</t>
  </si>
  <si>
    <t>24.06.2015 г.</t>
  </si>
  <si>
    <t>16.08.2015 г.</t>
  </si>
  <si>
    <t>18.08.2015 г.</t>
  </si>
  <si>
    <t>20.09.2015 г.</t>
  </si>
  <si>
    <t>01.10.2015 г.</t>
  </si>
  <si>
    <t>Информация о выводе в ремонт и вводе в эксплуатацию объектов электросетевого хозяйства, участвующих в передаче электроэнергии (мощности) в 2016 г.</t>
  </si>
  <si>
    <t>19.06.2016 г.</t>
  </si>
  <si>
    <t>21.06.2016 г.</t>
  </si>
  <si>
    <t>18.07.2016 г.</t>
  </si>
  <si>
    <t>20.07.2016 г.</t>
  </si>
  <si>
    <t>04.07.2016 г.</t>
  </si>
  <si>
    <t>08.07.2016 г.</t>
  </si>
  <si>
    <t>04.09.2016 г.</t>
  </si>
  <si>
    <t>16.09.2016 г.</t>
  </si>
  <si>
    <t>Информация о выводе в ремонт и вводе в эксплуатацию объектов электросетевого хозяйства, участвующих в передаче электроэнергии (мощности) в 2017 г.</t>
  </si>
  <si>
    <t>п.п. 11 В-1</t>
  </si>
  <si>
    <t>Информация по поданным заявкам на технологическое присоединение к электрическим сетям ООО "Ростсельмашэнерго" за 2010 г.</t>
  </si>
  <si>
    <t>Зона деятельности</t>
  </si>
  <si>
    <t>Январь</t>
  </si>
  <si>
    <t>Февраль</t>
  </si>
  <si>
    <t xml:space="preserve">Март </t>
  </si>
  <si>
    <t>1 квартал</t>
  </si>
  <si>
    <t>С начала года</t>
  </si>
  <si>
    <t>Кол-во, шт.</t>
  </si>
  <si>
    <t>Мощность, кВт</t>
  </si>
  <si>
    <t>г. Ростов-на-Дону</t>
  </si>
  <si>
    <t>г. Белая Калитва</t>
  </si>
  <si>
    <t>Итого:</t>
  </si>
  <si>
    <t>Апрель</t>
  </si>
  <si>
    <t>Май</t>
  </si>
  <si>
    <t>Июнь</t>
  </si>
  <si>
    <t>2 квартал</t>
  </si>
  <si>
    <t>Июль</t>
  </si>
  <si>
    <t>Август</t>
  </si>
  <si>
    <t>Сентябрь</t>
  </si>
  <si>
    <t>3 квартал</t>
  </si>
  <si>
    <t>Октябрь</t>
  </si>
  <si>
    <t>Ноябрь</t>
  </si>
  <si>
    <t>Декабрь</t>
  </si>
  <si>
    <t>4 квартал</t>
  </si>
  <si>
    <t>Информация по поданным заявкам на технологическое присоединение к электрическим сетям ООО "Ростсельмашэнерго" за 2011 г.</t>
  </si>
  <si>
    <t>Информация по поданным заявкам на технологическое присоединение к электрическим сетям ООО "Ростсельмашэнерго" за 2012 г.</t>
  </si>
  <si>
    <t>Информация по поданным заявкам на технологическое присоединение к электрическим сетям ООО "Ростсельмашэнерго" за 2013 г.</t>
  </si>
  <si>
    <t>Информация по поданным заявкам на технологическое присоединение к электрическим сетям ООО "Ростсельмашэнерго" за 2014 г.</t>
  </si>
  <si>
    <t>Информация по поданным заявкам на технологическое присоединение к электрическим сетям ООО "Ростсельмашэнерго" за 2015 г.</t>
  </si>
  <si>
    <t>Информация по поданным заявкам на технологическое присоединение к электрическим сетям ООО "Ростсельмашэнерго" за 2016 г.</t>
  </si>
  <si>
    <t>Информация по поданным заявкам на технологическое присоединение к электрическим сетям ООО "Ростсельмашэнерго" за 2017 г.</t>
  </si>
  <si>
    <t xml:space="preserve">п.п. 11 В-2 </t>
  </si>
  <si>
    <t>ИНФОРМАЦИЯ  ПО ТЕХНОЛОГИЧЕСКИМ ПРИСОЕДИНЕНИЯМ</t>
  </si>
  <si>
    <t>Заявитель</t>
  </si>
  <si>
    <t>Мощность</t>
  </si>
  <si>
    <t>Заявка Абонента</t>
  </si>
  <si>
    <t>Подключаемый Абонент</t>
  </si>
  <si>
    <t>Заявка в МРСК</t>
  </si>
  <si>
    <t>№ договора с МРСК</t>
  </si>
  <si>
    <t>Сумма договора с МРСК</t>
  </si>
  <si>
    <t>Оплата по договору с МРСК</t>
  </si>
  <si>
    <t>Факт выполнения с МРСК дата бух акта/№ акта тех присоед</t>
  </si>
  <si>
    <t>ТЗ на усиление сетей РСМЭ</t>
  </si>
  <si>
    <t>Договор на усиление сетей РСМЭ</t>
  </si>
  <si>
    <t>Постановление РСТ/Дата подачи дела в РСТ</t>
  </si>
  <si>
    <t>Сроки выполнения по договору с заявителем</t>
  </si>
  <si>
    <t>Коментарии</t>
  </si>
  <si>
    <t>Учтено в  тарифе</t>
  </si>
  <si>
    <t>день</t>
  </si>
  <si>
    <t>месяц</t>
  </si>
  <si>
    <t>год</t>
  </si>
  <si>
    <t>Ответ.</t>
  </si>
  <si>
    <t>ЭТО</t>
  </si>
  <si>
    <t>КС</t>
  </si>
  <si>
    <t>КС/ЭТО</t>
  </si>
  <si>
    <t>№ п/п</t>
  </si>
  <si>
    <t>3.1.</t>
  </si>
  <si>
    <t>3.2.</t>
  </si>
  <si>
    <t>3.3.</t>
  </si>
  <si>
    <t>ОАО "Донэнерго" РГЭС:</t>
  </si>
  <si>
    <t>ОАО "Донэнерго" РГЭС</t>
  </si>
  <si>
    <t>кВт</t>
  </si>
  <si>
    <t>№ 27/4583</t>
  </si>
  <si>
    <t>Объекты, присоединяемые к сетям ОАО "Донэнерго"</t>
  </si>
  <si>
    <t>№ 2438/11 от 04.08.2011</t>
  </si>
  <si>
    <t>№148357/25/12 от 16.02.2012</t>
  </si>
  <si>
    <t>140934,89 (оплачено 11.07.2012)</t>
  </si>
  <si>
    <t>акт тех присоед. №42661 от 23.08.2012 г., акт вып ТУ000074125 от</t>
  </si>
  <si>
    <t>№ 5/1 от 29.02.2012</t>
  </si>
  <si>
    <t>№28/3236 от 13.05.2011</t>
  </si>
  <si>
    <t>№ 27/4583 от 15.07.2011</t>
  </si>
  <si>
    <t>Матрос И.П. ул.Волжская, 97/31 (гараж)</t>
  </si>
  <si>
    <t>Джанашия Л.Р., ул. Мурманская 80</t>
  </si>
  <si>
    <r>
      <t>№104909/09/10960/9-1-1-4822 (ПО ЦЭС Ростовэнерго) гл. инж. А.В. Бахарев) -</t>
    </r>
    <r>
      <rPr>
        <b/>
        <i/>
        <sz val="12"/>
        <color indexed="8"/>
        <rFont val="Arial"/>
        <family val="2"/>
        <charset val="204"/>
      </rPr>
      <t>анулирован</t>
    </r>
  </si>
  <si>
    <t>100 % в течении 30 дней с даты договора</t>
  </si>
  <si>
    <t>невыполнено</t>
  </si>
  <si>
    <t>ИП Кожанов, г. Ростов ул. Курчатова 1А</t>
  </si>
  <si>
    <t>№97745/09/10 -960/9-1-3297 от 20.08.2010</t>
  </si>
  <si>
    <t>100% в течение 15 дней с даты договора</t>
  </si>
  <si>
    <t>№5/4 от 31.03.2011</t>
  </si>
  <si>
    <t>№100/11 от 19.04.2011</t>
  </si>
  <si>
    <t xml:space="preserve">договор с заявителем отправлен в РГЭС, договор с протоколом разногласий отправлен в ПО ЦЭС МРСК Белоусову 04.02.2011 с письмом кс-4/9 </t>
  </si>
  <si>
    <t>Ломова И.В. Ул. Камская 36а</t>
  </si>
  <si>
    <r>
      <t>№960/9-1-3-3871 (ПО ЦЭС Ростовэнерго) гл. инж. А.В. Бахарев) -</t>
    </r>
    <r>
      <rPr>
        <b/>
        <i/>
        <sz val="12"/>
        <color indexed="8"/>
        <rFont val="Arial"/>
        <family val="2"/>
        <charset val="204"/>
      </rPr>
      <t>анулирован</t>
    </r>
  </si>
  <si>
    <t>Лысенко Е.В. жил дом пер.Самоходный, 8а</t>
  </si>
  <si>
    <t>ИП Рыбаков А.А. ул. Щербакова 2/1</t>
  </si>
  <si>
    <t>ООО "Ростовская металлокомпания", ул. Геологическая, 2</t>
  </si>
  <si>
    <t>ООО "Ростов транспорт", ул. Курчатова, 51</t>
  </si>
  <si>
    <t>Кирпичикова Е.П. Жил дом ул.Арефьева, 99/14</t>
  </si>
  <si>
    <t>Кожухов В.С. строение ул.Орская, 10/4 литер "А Ф"</t>
  </si>
  <si>
    <t>Ахаян М.Р. жил дом ул.Мурманская, 82</t>
  </si>
  <si>
    <t>ИП Попова О.М. Торговый павильон ул.Днепропетровская, 8</t>
  </si>
  <si>
    <t>Тихонова И.Е. ул.Курчатова, 49А</t>
  </si>
  <si>
    <t>№27/4583 от 15.07.2011</t>
  </si>
  <si>
    <t>Устименко А.А. ул.Глинки, 79А</t>
  </si>
  <si>
    <t>Челнаков А.А. ул. Курчатова, 50А1Б,А2,А3</t>
  </si>
  <si>
    <t>Одинцова Е.А. ул. Курчатова, 2Б</t>
  </si>
  <si>
    <t>Горелова Э.Г. ул. Пугачева, 32/13</t>
  </si>
  <si>
    <t>Акуленко И.А. ул. Конституционная, 37Б</t>
  </si>
  <si>
    <t>Товмасян К.К. ул. Молодежная, 25/3</t>
  </si>
  <si>
    <t>Карапетян А.Г. ул. Камская, 36</t>
  </si>
  <si>
    <t>Жмурин Д.Н. ул. Камская, 65А</t>
  </si>
  <si>
    <t>Усепов М.А. ул. Курчатова, 6А</t>
  </si>
  <si>
    <t>ООО "Сан-С" ул. Двинская, 24/1</t>
  </si>
  <si>
    <t>№ 34/448</t>
  </si>
  <si>
    <t>№ РЭ/ФО-РнД/256/12 от 12.03.2012</t>
  </si>
  <si>
    <t>№12300-12-00097995-4 от 18.09.12</t>
  </si>
  <si>
    <t>66272,08 (07.11.12)</t>
  </si>
  <si>
    <t>акт тех присоед №55445 от 23.11.2012 г.</t>
  </si>
  <si>
    <t>№ 26/2 от 07.08.2012</t>
  </si>
  <si>
    <t>ОАО "Коммунальщик Дона":</t>
  </si>
  <si>
    <t>№ 12</t>
  </si>
  <si>
    <t>ЗАО "Мегафон-Кавказ"</t>
  </si>
  <si>
    <t>№ 4/249 от 02.-2.2009</t>
  </si>
  <si>
    <t>№ 285/1 2009 г.</t>
  </si>
  <si>
    <t>№ 5/89 от 25.03.2009</t>
  </si>
  <si>
    <t>выполнено</t>
  </si>
  <si>
    <t xml:space="preserve">№ 12/23 от 15.10.2009 г. </t>
  </si>
  <si>
    <t>№114493 от 25.07.2014, акт ТУ №000303999 от 25.07.2014</t>
  </si>
  <si>
    <t>217-СЭ</t>
  </si>
  <si>
    <t>№ РЭ/ РнД/1091/13 от 07.11.2013</t>
  </si>
  <si>
    <t>№3230014-00156205-1 от 22.05.14 (протокол от 22.05.14)</t>
  </si>
  <si>
    <t>№114495 от 28.07.2014, акт ТУ №000309713 от 28.07.2014</t>
  </si>
  <si>
    <t>№32/4 от 30.06.2014</t>
  </si>
  <si>
    <t>№ РЭ/РнД/273/15 от 03.06.2015</t>
  </si>
  <si>
    <t>отозвана</t>
  </si>
  <si>
    <t>Прочие потребители:</t>
  </si>
  <si>
    <t>Бедусенко А.И., Мелихова Е.М., Антонов А.В.</t>
  </si>
  <si>
    <t>б/н от 20.10.10, 21.01.11</t>
  </si>
  <si>
    <t>завод по производству сухих смесей, ул. Страна советов 42</t>
  </si>
  <si>
    <t>№2948/10 от 26.10.2010,№644/11 от 18.02.2011</t>
  </si>
  <si>
    <t>№133570/25/11/960/2503-1-1-2992 от 12.09.2011 и антонов №143453/25/11 от 20.12.11</t>
  </si>
  <si>
    <t>100 % в течении 30 дней с даты договора (оплачено)</t>
  </si>
  <si>
    <t>№ 821/74 02.02.2012 г./ № 821/124 от 26.03.2012</t>
  </si>
  <si>
    <t>ИП Белозор Н.И.</t>
  </si>
  <si>
    <t>Комплекс техобслуживания а/м, ул. Страна Советов, 48</t>
  </si>
  <si>
    <t>№ 3628/11 от 17.11.2011</t>
  </si>
  <si>
    <t>ООО "Ассоль"</t>
  </si>
  <si>
    <t>Станция технического обслуживания автомобилей, ул. Страна Советов, 48г</t>
  </si>
  <si>
    <t>№ 68/12 от 19.01.2012</t>
  </si>
  <si>
    <t>№32300-12-00094017-4</t>
  </si>
  <si>
    <t>66272,08 (16.08.12)</t>
  </si>
  <si>
    <t>акт тех присоед. № 46621 от 12.09.2012 г.</t>
  </si>
  <si>
    <t>№24/2 от 30.07.2012</t>
  </si>
  <si>
    <t>выполнено, акт №576 от 27.08.2012</t>
  </si>
  <si>
    <t>ОАО "Ростовавтомост"</t>
  </si>
  <si>
    <t>№ 1300</t>
  </si>
  <si>
    <t>Погрузочно-разгрузочная площадка, ул. Страна Советов, 48</t>
  </si>
  <si>
    <t>№ 67/12 от 19.01.2012</t>
  </si>
  <si>
    <t>№32300-12-00094039-4</t>
  </si>
  <si>
    <t>акт тех присоед. № 46629 от 07.09.2012 г.</t>
  </si>
  <si>
    <t>ОАО "Мегафон"</t>
  </si>
  <si>
    <t>Офисные помещения</t>
  </si>
  <si>
    <t>№ РЭ/ФО-РнД/257/12 от 13.03.2012</t>
  </si>
  <si>
    <t>№32300-12-00097739-4 от 12.09.12</t>
  </si>
  <si>
    <t>66272,08 (05.10.12)</t>
  </si>
  <si>
    <t>акт тех присоед. № 51735 от 18.10.2012 г.</t>
  </si>
  <si>
    <t>ООО "Донтехсервис Плюс"</t>
  </si>
  <si>
    <t>0006943225</t>
  </si>
  <si>
    <t>Электрододержатель ЭД-500</t>
  </si>
  <si>
    <t>12.1.920</t>
  </si>
  <si>
    <t>0009104028</t>
  </si>
  <si>
    <t>Вентилятор ВЦ-14-46 №4 2,2кВт 1000об/мин</t>
  </si>
  <si>
    <t>0009104569</t>
  </si>
  <si>
    <t>Насос ГНОМ-25-25</t>
  </si>
  <si>
    <t>Электродвигатель АБ63А4ВУ1 0,25 кВт 220/380 В IM32</t>
  </si>
  <si>
    <t>Станок шинообрабатывающий ШОС 120Р</t>
  </si>
  <si>
    <t>Шиногиб гидравлический ПГШ-120 "Шток"</t>
  </si>
  <si>
    <t>12.1.930</t>
  </si>
  <si>
    <t>0000000001</t>
  </si>
  <si>
    <t>Велосипед мужской</t>
  </si>
  <si>
    <t>0009104600</t>
  </si>
  <si>
    <t>Электротележка ЭТ-2013</t>
  </si>
  <si>
    <t>12.1.940</t>
  </si>
  <si>
    <t>0003704712</t>
  </si>
  <si>
    <t>Компьютер БК-1</t>
  </si>
  <si>
    <t>Монитор 17" LG</t>
  </si>
  <si>
    <t>Монитор 19''</t>
  </si>
  <si>
    <t>Компьютер БК-2</t>
  </si>
  <si>
    <t>комплект</t>
  </si>
  <si>
    <t>Кондиционер оконный GCW-09HRN1</t>
  </si>
  <si>
    <t>Сплит система 09</t>
  </si>
  <si>
    <t>МФУ XEROX WORK CENTRE 3119</t>
  </si>
  <si>
    <t>12.2.310</t>
  </si>
  <si>
    <t>0003501001</t>
  </si>
  <si>
    <t>Молоко</t>
  </si>
  <si>
    <t>Цена без НДС</t>
  </si>
  <si>
    <t>Цена с НДС</t>
  </si>
  <si>
    <t>ЦЭ</t>
  </si>
  <si>
    <t>Средний ремонт трансформатора без смены обмоток ТС-1 ПС 110/6 ГПП-2</t>
  </si>
  <si>
    <t>Разработка проектного решения с выдачей проектно – сметной документации на производство работ по строительному ремонту здания Подстанция №101</t>
  </si>
  <si>
    <t>Техническое освидетельствование конструкций наружных стен здания с разработкой проектного решения и выдачей проектно – сметной документации на производство работ по строительному ремонту наружных стен ГПП-3 двухэтажное здание</t>
  </si>
  <si>
    <t>Техническое освидетельствование и оценка технического состояния строительных конструкций фундамента и маслоприемника трансформатора ТС-2 ГПП-2</t>
  </si>
  <si>
    <t>Техническое освидетельствование и оценка технического состояния строительных конструкций оборудования 110кВ (порталы, стойки) ОРУ110 ГПП-2</t>
  </si>
  <si>
    <t>Техническое освидетельствование сооружений с разработкой проектно – сметной документации на их строительный ремонт (опоры оборудования ОРУ110 ГПП-1)</t>
  </si>
  <si>
    <t>Строительный ремонт цокольной части наружных стен здания ОПУ (Пристройка здания ГПП-1 (ЗРУ-6-1)</t>
  </si>
  <si>
    <t>Зажим контактный с лопаткой трансф.ввода до 1кВ 1600А</t>
  </si>
  <si>
    <t>67</t>
  </si>
  <si>
    <t>0006901910</t>
  </si>
  <si>
    <t>Заземление переносное 10кВ 3 фазы ЗПП-10</t>
  </si>
  <si>
    <t>68</t>
  </si>
  <si>
    <t>0006901913</t>
  </si>
  <si>
    <t>Заземление переносное 10кВ 3 фазы ЗПП-110</t>
  </si>
  <si>
    <t>69</t>
  </si>
  <si>
    <t>0003704284</t>
  </si>
  <si>
    <t>Заземление переносное 110 кВ, 1 фаза ЗПП-110</t>
  </si>
  <si>
    <t>70</t>
  </si>
  <si>
    <t>0003704764</t>
  </si>
  <si>
    <t>Заземление переносное 110 кВ, 3 фаза ЗПП-110М</t>
  </si>
  <si>
    <t>71</t>
  </si>
  <si>
    <t>0003704549</t>
  </si>
  <si>
    <t>Замок блокировочный ЗБ-1</t>
  </si>
  <si>
    <t>72</t>
  </si>
  <si>
    <t>0003611812</t>
  </si>
  <si>
    <t>Звонок сигнальный аварийный РВФ-220</t>
  </si>
  <si>
    <t>73</t>
  </si>
  <si>
    <t>0003704551</t>
  </si>
  <si>
    <t>Звонок сигнальный предупредительный ЭВОФ-220</t>
  </si>
  <si>
    <t>74</t>
  </si>
  <si>
    <t>Изолятор ОСК-10-110-Б-2</t>
  </si>
  <si>
    <t>75</t>
  </si>
  <si>
    <t>0003704886</t>
  </si>
  <si>
    <t>Изолятор ОСК-10-110-Д-2</t>
  </si>
  <si>
    <t>76</t>
  </si>
  <si>
    <t>0009103720</t>
  </si>
  <si>
    <t>Изолятор ОСК-10-110-Д-4 УХЛ1</t>
  </si>
  <si>
    <t>77</t>
  </si>
  <si>
    <t>0009103859</t>
  </si>
  <si>
    <t>Индикатор АЛ307КМ</t>
  </si>
  <si>
    <t>78</t>
  </si>
  <si>
    <t>0009103883</t>
  </si>
  <si>
    <t>Индикатор АЛС 317В</t>
  </si>
  <si>
    <t>79</t>
  </si>
  <si>
    <t>0009103884</t>
  </si>
  <si>
    <t>Индикатор АЛС 324б</t>
  </si>
  <si>
    <t>80</t>
  </si>
  <si>
    <t>0009103723</t>
  </si>
  <si>
    <t>Индикатор КИПД 105 Б4-Б</t>
  </si>
  <si>
    <t>81</t>
  </si>
  <si>
    <t>0009103724</t>
  </si>
  <si>
    <t>Индикатор КИПД 105 Б4-К</t>
  </si>
  <si>
    <t>82</t>
  </si>
  <si>
    <t>0009103722</t>
  </si>
  <si>
    <t>Индикатор КИПД 105 Б4-Л</t>
  </si>
  <si>
    <t>83</t>
  </si>
  <si>
    <t>0003704554</t>
  </si>
  <si>
    <t>Индикатор КИПД 105 Е4-Б</t>
  </si>
  <si>
    <t>84</t>
  </si>
  <si>
    <t>0003704556</t>
  </si>
  <si>
    <t>Индикатор КИПД 105 Е4-К</t>
  </si>
  <si>
    <t>85</t>
  </si>
  <si>
    <t>0003704557</t>
  </si>
  <si>
    <t>Индикатор КИПД 105-Е4-Л</t>
  </si>
  <si>
    <t>86</t>
  </si>
  <si>
    <t>0003704558</t>
  </si>
  <si>
    <t>Катушка включения к приводу ПЭ-11 220В для МВ</t>
  </si>
  <si>
    <t>87</t>
  </si>
  <si>
    <t>0003704560</t>
  </si>
  <si>
    <t>Катушка отключения 110/220 для привода ШПЭ-44 У1</t>
  </si>
  <si>
    <t>88</t>
  </si>
  <si>
    <t>0003704561</t>
  </si>
  <si>
    <t>Ключ и переключатель ПМОФ45-112222/11.Д1</t>
  </si>
  <si>
    <t>89</t>
  </si>
  <si>
    <t>0003704562</t>
  </si>
  <si>
    <t>Ключ и переключатель ПМОФ45-11226363/11У3</t>
  </si>
  <si>
    <t>90</t>
  </si>
  <si>
    <t>0003704879</t>
  </si>
  <si>
    <t>Ключ электромагнитный КЭЗ-1М 220В</t>
  </si>
  <si>
    <t>91</t>
  </si>
  <si>
    <t>0009103445</t>
  </si>
  <si>
    <t>Ключ электромагнитный КЭМ-1М 220В</t>
  </si>
  <si>
    <t>92</t>
  </si>
  <si>
    <t>0009103656</t>
  </si>
  <si>
    <t>Ключ-переключатель ПК16-12А2001</t>
  </si>
  <si>
    <t>93</t>
  </si>
  <si>
    <t>0009104529</t>
  </si>
  <si>
    <t>Кнопка КМЕ-011</t>
  </si>
  <si>
    <t>94</t>
  </si>
  <si>
    <t>0009103466</t>
  </si>
  <si>
    <t>Комплект ЗиП для ВК-10-1000</t>
  </si>
  <si>
    <t>95</t>
  </si>
  <si>
    <t>0009103990</t>
  </si>
  <si>
    <t>Комплект ЗиП для ВК-10-1600</t>
  </si>
  <si>
    <t>96</t>
  </si>
  <si>
    <t>0009104531</t>
  </si>
  <si>
    <t>Комплект ЗиП для ВК-10-630</t>
  </si>
  <si>
    <t>97</t>
  </si>
  <si>
    <t>0009103505</t>
  </si>
  <si>
    <t>Комплект ЗиП для УРМ-1000</t>
  </si>
  <si>
    <t>98</t>
  </si>
  <si>
    <t>0009104073</t>
  </si>
  <si>
    <t>Комплект ЗиП к выключателю ВКЭ-10-1000 А</t>
  </si>
  <si>
    <t>99</t>
  </si>
  <si>
    <t>0009104532</t>
  </si>
  <si>
    <t>Комплект ЗиП к выключателю ВКЭ-10-1600А</t>
  </si>
  <si>
    <t>100</t>
  </si>
  <si>
    <t>0006904989</t>
  </si>
  <si>
    <t>Комплект ЗиП к выключателю ВКЭ-10-630А</t>
  </si>
  <si>
    <t>101</t>
  </si>
  <si>
    <t>0009103858</t>
  </si>
  <si>
    <t>Комплект ЗИП к выключателю ВМПЭ-10-10-1000-20ка</t>
  </si>
  <si>
    <t>102</t>
  </si>
  <si>
    <t>0009103857</t>
  </si>
  <si>
    <t>Комплект ЗИП к выключателю ВМПЭ-10-10-1600-20ка</t>
  </si>
  <si>
    <t>103</t>
  </si>
  <si>
    <t>0009103856</t>
  </si>
  <si>
    <t>Комплект ЗИП к выключателю ВМПЭ-10-10-630-20ка</t>
  </si>
  <si>
    <t>104</t>
  </si>
  <si>
    <t>0009103989</t>
  </si>
  <si>
    <t>Комплект ЗиП к выключателю ВМПЭ-10-3150-31,5ка</t>
  </si>
  <si>
    <t>105</t>
  </si>
  <si>
    <t>0006301086</t>
  </si>
  <si>
    <t>Комплект нагрузочный измерительный РТ-2048-12</t>
  </si>
  <si>
    <t>106</t>
  </si>
  <si>
    <t>0003704439</t>
  </si>
  <si>
    <t>Комплект проводов для мегаомметра ЭС 0202/2-Г</t>
  </si>
  <si>
    <t>компл</t>
  </si>
  <si>
    <t>107</t>
  </si>
  <si>
    <t>0003704575</t>
  </si>
  <si>
    <t>Конденсатор К50-2Б 50В, 20 мкф</t>
  </si>
  <si>
    <t>108</t>
  </si>
  <si>
    <t>0003704576</t>
  </si>
  <si>
    <t>Конденсатор К50-2Б 70В, 15 мкф</t>
  </si>
  <si>
    <t>109</t>
  </si>
  <si>
    <t>0003704577</t>
  </si>
  <si>
    <t>Конденсатор К-50-3А -160В, 10мкф</t>
  </si>
  <si>
    <t>110</t>
  </si>
  <si>
    <t>0003704578</t>
  </si>
  <si>
    <t>Конденсатор К52-2Б 50В 200 мкф</t>
  </si>
  <si>
    <t>111</t>
  </si>
  <si>
    <t>0003704579</t>
  </si>
  <si>
    <t>Конденсатор МБГ 600В 20 мкф</t>
  </si>
  <si>
    <t>112</t>
  </si>
  <si>
    <t>0009104534</t>
  </si>
  <si>
    <t>Контактор КТПВ 621 перед.присоед. БК-2"3",2"Р"</t>
  </si>
  <si>
    <t>113</t>
  </si>
  <si>
    <t>0009103444</t>
  </si>
  <si>
    <t>Контакты втычные  АВМ-10</t>
  </si>
  <si>
    <t>114</t>
  </si>
  <si>
    <t>0003610891</t>
  </si>
  <si>
    <t>Контакты втычные  АВМ-4</t>
  </si>
  <si>
    <t>115</t>
  </si>
  <si>
    <t>0006943255</t>
  </si>
  <si>
    <t>Контакты втычные "Электрон" Э16</t>
  </si>
  <si>
    <t>116</t>
  </si>
  <si>
    <t>0009103550</t>
  </si>
  <si>
    <t>Контакты втычные АВМ 20</t>
  </si>
  <si>
    <t>117</t>
  </si>
  <si>
    <t>0003704904</t>
  </si>
  <si>
    <t>Контакты втычные Э-40</t>
  </si>
  <si>
    <t>118</t>
  </si>
  <si>
    <t>0009103902</t>
  </si>
  <si>
    <t>Контакты дугогасительные Э-40</t>
  </si>
  <si>
    <t>119</t>
  </si>
  <si>
    <t>0009103605</t>
  </si>
  <si>
    <t>Микросхема 74НСТ00N</t>
  </si>
  <si>
    <t>120</t>
  </si>
  <si>
    <t>0009103607</t>
  </si>
  <si>
    <t>Микросхема 74НСТ05N</t>
  </si>
  <si>
    <t>121</t>
  </si>
  <si>
    <t>0009103604</t>
  </si>
  <si>
    <t>Микросхема 74НСТ14N</t>
  </si>
  <si>
    <t>122</t>
  </si>
  <si>
    <t>0009103609</t>
  </si>
  <si>
    <t>Микросхема 74НСТ245N</t>
  </si>
  <si>
    <t>123</t>
  </si>
  <si>
    <t>0009103610</t>
  </si>
  <si>
    <t>Микросхема 74НСТ32N</t>
  </si>
  <si>
    <t>124</t>
  </si>
  <si>
    <t>0009103612</t>
  </si>
  <si>
    <t>Микросхема 74НСТ373N</t>
  </si>
  <si>
    <t>125</t>
  </si>
  <si>
    <t>0009103608</t>
  </si>
  <si>
    <t>Микросхема 74НСТ374N</t>
  </si>
  <si>
    <t>126</t>
  </si>
  <si>
    <t>0009103611</t>
  </si>
  <si>
    <t>Микросхема 74НСТ86N</t>
  </si>
  <si>
    <t>127</t>
  </si>
  <si>
    <t>0009103606</t>
  </si>
  <si>
    <t>Микросхема ИМ1821ВМ85А</t>
  </si>
  <si>
    <t>128</t>
  </si>
  <si>
    <t>0009103602</t>
  </si>
  <si>
    <t>Микросхема КР142ЕН8Б</t>
  </si>
  <si>
    <t>129</t>
  </si>
  <si>
    <t>0009103615</t>
  </si>
  <si>
    <t>Микросхема КР1533ИД4</t>
  </si>
  <si>
    <t>130</t>
  </si>
  <si>
    <t>0009103603</t>
  </si>
  <si>
    <t>Микросхема КР1533ЛН1</t>
  </si>
  <si>
    <t>131</t>
  </si>
  <si>
    <t>0009103614</t>
  </si>
  <si>
    <t>Микросхема КР537РУ25Б</t>
  </si>
  <si>
    <t>132</t>
  </si>
  <si>
    <t>0009103616</t>
  </si>
  <si>
    <t>Микросхема КР580ВВ51А</t>
  </si>
  <si>
    <t>133</t>
  </si>
  <si>
    <t>0009103617</t>
  </si>
  <si>
    <t>Микросхема КР580ВВ55А</t>
  </si>
  <si>
    <t>134</t>
  </si>
  <si>
    <t>0009103613</t>
  </si>
  <si>
    <t>Микросхема КР580ВИ53</t>
  </si>
  <si>
    <t>135</t>
  </si>
  <si>
    <t>0003901762</t>
  </si>
  <si>
    <t>Муфта кабельная концевая 10КВТп-8</t>
  </si>
  <si>
    <t>136</t>
  </si>
  <si>
    <t>0003901750</t>
  </si>
  <si>
    <t>Муфта кабельная концевая 10КВТп-9</t>
  </si>
  <si>
    <t>137</t>
  </si>
  <si>
    <t>0003901758</t>
  </si>
  <si>
    <t>Муфта кабельная соединительная 10СТп-8</t>
  </si>
  <si>
    <t>138</t>
  </si>
  <si>
    <t>0003901745</t>
  </si>
  <si>
    <t>Муфта кабельная соединительная 10СТп-9</t>
  </si>
  <si>
    <t>139</t>
  </si>
  <si>
    <t>0003901913</t>
  </si>
  <si>
    <t>Муфта кабельная соединительная 1СТп-5</t>
  </si>
  <si>
    <t>140</t>
  </si>
  <si>
    <t>0003901892</t>
  </si>
  <si>
    <t>Муфта кабельная соединительная 1СТп-6</t>
  </si>
  <si>
    <t>141</t>
  </si>
  <si>
    <t>0009104572</t>
  </si>
  <si>
    <t>Ограничитель перенапряжения ОПН/TEL-110</t>
  </si>
  <si>
    <t>142</t>
  </si>
  <si>
    <t>0003620146</t>
  </si>
  <si>
    <t>Патрон Е-40</t>
  </si>
  <si>
    <t>143</t>
  </si>
  <si>
    <t>0003704594</t>
  </si>
  <si>
    <t>Патрон к предохранителю ПН-001-10У3</t>
  </si>
  <si>
    <t>144</t>
  </si>
  <si>
    <t>0003704595</t>
  </si>
  <si>
    <t>Патрон к предохранителю ПТ-101-10У3</t>
  </si>
  <si>
    <t>145</t>
  </si>
  <si>
    <t>0003704596</t>
  </si>
  <si>
    <t>Патрон к предохранителю ПТ-101-16У3</t>
  </si>
  <si>
    <t>146</t>
  </si>
  <si>
    <t>0003704597</t>
  </si>
  <si>
    <t>Патрон к предохранителю Пт-103-6-160У3</t>
  </si>
  <si>
    <t>147</t>
  </si>
  <si>
    <t>0003704593</t>
  </si>
  <si>
    <t>Патрон керамический Е-40</t>
  </si>
  <si>
    <t>148</t>
  </si>
  <si>
    <t>0003621203</t>
  </si>
  <si>
    <t>Патрон МПУ-2</t>
  </si>
  <si>
    <t>149</t>
  </si>
  <si>
    <t>0003704989</t>
  </si>
  <si>
    <t>Патрон настенный карболитовый Е-27 6А</t>
  </si>
  <si>
    <t>150</t>
  </si>
  <si>
    <t>0003704592</t>
  </si>
  <si>
    <t>Патрон подвесной карболитовый Е-27 6А</t>
  </si>
  <si>
    <t>151</t>
  </si>
  <si>
    <t>0005702084</t>
  </si>
  <si>
    <t>Подшипник 304</t>
  </si>
  <si>
    <t>152</t>
  </si>
  <si>
    <t>0003704369</t>
  </si>
  <si>
    <t>Подшипник 312 А</t>
  </si>
  <si>
    <t>153</t>
  </si>
  <si>
    <t>0003704370</t>
  </si>
  <si>
    <t>Подшипник 80304</t>
  </si>
  <si>
    <t>154</t>
  </si>
  <si>
    <t>0003621123</t>
  </si>
  <si>
    <t>Предохранитель НПН2-60У3 10А</t>
  </si>
  <si>
    <t>155</t>
  </si>
  <si>
    <t>0003621155</t>
  </si>
  <si>
    <t>Предохранитель НПН2-60У3 16А</t>
  </si>
  <si>
    <t>156</t>
  </si>
  <si>
    <t>0003621130</t>
  </si>
  <si>
    <t>Предохранитель ПКН 001-10 УЗ</t>
  </si>
  <si>
    <t>157</t>
  </si>
  <si>
    <t>0003621132</t>
  </si>
  <si>
    <t>Предохранитель ПКТ 101-6-10-20 УЗ</t>
  </si>
  <si>
    <t>158</t>
  </si>
  <si>
    <t>0003704893</t>
  </si>
  <si>
    <t>Предохранитель ПР-1М 10А</t>
  </si>
  <si>
    <t>159</t>
  </si>
  <si>
    <t>0009104577</t>
  </si>
  <si>
    <t>Привод ПР-3У3</t>
  </si>
  <si>
    <t>160</t>
  </si>
  <si>
    <t>0009104578</t>
  </si>
  <si>
    <t>Привод ПРК-1</t>
  </si>
  <si>
    <t>161</t>
  </si>
  <si>
    <t>Отделитель ОДЗ-110</t>
  </si>
  <si>
    <t>162</t>
  </si>
  <si>
    <t>Разъединитель РГП-СЭЩ-2-110/1250</t>
  </si>
  <si>
    <t>163</t>
  </si>
  <si>
    <t>0003704600</t>
  </si>
  <si>
    <t>Привод ПРО-1</t>
  </si>
  <si>
    <t>164</t>
  </si>
  <si>
    <t>0006943266</t>
  </si>
  <si>
    <t>Уровень нормативных потерь утвержденный постановлением РСТ РО от 25.12.2014 № 85/3,  с изменениями, внесенными постановлением РСТ РО от 22.12.2015 № 78/9 на 2016 г.:</t>
  </si>
  <si>
    <t>- отпуск электроэнергии в сеть 151 179,88 тыс. кВтч;</t>
  </si>
  <si>
    <t>норматив технологических потерь электроэнергии при ее передачи по электрическим сетям на 2016 год 5,52 % от отпуска в сеть</t>
  </si>
  <si>
    <t>п.п. 11 Б-6</t>
  </si>
  <si>
    <t>Перечень мероприятий по снижению потерь в электрических сетях ООО "Ростсельмашэнерго".</t>
  </si>
  <si>
    <t>№</t>
  </si>
  <si>
    <t>Наименование мероприятия</t>
  </si>
  <si>
    <t>Отключение в режимах малых нагрузок трансформаторов на подстанциях с двумя и более трансформаторами 35-110 кВ</t>
  </si>
  <si>
    <t>Снижение расхода электроэнергии на собственные нужды подстанций</t>
  </si>
  <si>
    <t>Замена конденсаторов, выбывших из строя</t>
  </si>
  <si>
    <t>Проведение рейдов по выявлению неучтенной электроэнергии в производственном секторе</t>
  </si>
  <si>
    <t>Организация равномерного снятия показаний электросчетчиков строго в установленные сроки по группам потребителей</t>
  </si>
  <si>
    <t>Устранение недогрузки трансформаторов тока</t>
  </si>
  <si>
    <t>Проведение проверок и обеспечение своевременности и правильности снятий показаний электросчетчиков</t>
  </si>
  <si>
    <t>Данные мероприятия реализуются регулярно и их выполнение по большей части не</t>
  </si>
  <si>
    <t>требует дополнительных затрат денежных средств.</t>
  </si>
  <si>
    <t>п.п. 11 Б-7</t>
  </si>
  <si>
    <t>Покупка потерь по ОАО "Энергосбыт Ростовэнерго" (Белая Калитва) в 2009 г.</t>
  </si>
  <si>
    <t>Стоимость потерь</t>
  </si>
  <si>
    <t>Покупка потерь по ОАО "Энергосбыт Ростовэнерго" (Белая Калитва) в 2010 г.</t>
  </si>
  <si>
    <t>Покупка потерь по ОАО "Энергосбыт Ростовэнерго" (Белая Калитва) в 2011 г.</t>
  </si>
  <si>
    <t>Покупка потерь по ОАО "Энергосбыт Ростовэнерго" (Белая Калитва) в 2012 г.</t>
  </si>
  <si>
    <t>Покупка потерь по ОАО "Энергосбыт Ростовэнерго" (Белая Калитва) в 2013 г.</t>
  </si>
  <si>
    <t>Покупка потерь по ОАО "Энергосбыт Ростовэнерго" (Белая Калитва) в 2014 г.</t>
  </si>
  <si>
    <t>Покупка потерь по ПАО "ТНС энерго Ростов-на-Дону" (Белая Калитва) в 2015 г.</t>
  </si>
  <si>
    <t>Покупка потерь по ПАО "ТНС энерго Ростов-на-Дону" в 2016 г.</t>
  </si>
  <si>
    <t>Покупка потерь по ПАО "ТНС энерго Ростов-на-Дону" в 2017 г.</t>
  </si>
  <si>
    <t>п.п.11 Б-9</t>
  </si>
  <si>
    <t xml:space="preserve">Перечень зон деятельности сетевой организации: </t>
  </si>
  <si>
    <t>-</t>
  </si>
  <si>
    <t>Преобразователь частотный (насосов ХОВ №1 и 2), инв.№00250244</t>
  </si>
  <si>
    <t>Преобразователь частотный (насосы №1 и 2 подпитки), инв.№00250245</t>
  </si>
  <si>
    <t>Преобразователь частотный (насосы №4 и 5 КЦ), инв.№00250246</t>
  </si>
  <si>
    <t>В течение 2010 г. аварийных отключений электрической энергии, вызванных авариями или внеплановыми отключениями объектов электросетевого хозяйства не происходило.</t>
  </si>
  <si>
    <t>В течение 2011 г. аварийных отключений электрической энергии, вызванных авариями или внеплановыми отключениями объектов электросетевого хозяйства не происходило.</t>
  </si>
  <si>
    <t>Строительный ремонт цокольной части наружных стен здания ЗРУ-6-2 (Пристройка здания ГПП-1 (ЗРУ-6-1)</t>
  </si>
  <si>
    <t>Ремонт колонн, стен кирпичного ограждения ОРУ-110кВ (Здание ГПП-1)</t>
  </si>
  <si>
    <t>Замена оконного блока ЭТЛ (1шт.)</t>
  </si>
  <si>
    <t>Замена оконных блоков ОПУ (4шт) (Пристройка здания ГПП-1 (ЗРУ-6-1)</t>
  </si>
  <si>
    <t xml:space="preserve">Монтаж схемы вторичных цепей на панелях управления и учета ГВ1 </t>
  </si>
  <si>
    <t>Подключение кабелей к панелям защиты и управления ГВ1 (УРОВ и ДЗШ подключаем в самом конце)</t>
  </si>
  <si>
    <t>Подключение кабелей в пределах ячейки ГВ1 на ОРУ-110 кВ.</t>
  </si>
  <si>
    <t>Разработка программы включения ГВ1</t>
  </si>
  <si>
    <t>Оформление распоряжения о включении ГВ1</t>
  </si>
  <si>
    <t xml:space="preserve">Монтаж шлейфов к ШР-110 ГВ-1 от секции шин. </t>
  </si>
  <si>
    <t>48а</t>
  </si>
  <si>
    <t>Техническое обслуживание аппаратуры РЗА ВЛ-110 кВ Р-1-Р-37 в обьеме первого профилактического контроля (К1)</t>
  </si>
  <si>
    <t>49 49а</t>
  </si>
  <si>
    <t>Включение 1 секциии 110 кВ и ГВ1 в работу по утвержденной программе (опробование ячейки и ВЛ-110 ГВ-1 от ЭВ-110 Р4/1 при подаче напряжения на секцию при открытом плече ДЗШ на ГВ-1).</t>
  </si>
  <si>
    <t>Приемка учета присоединения ВЛ-110 кВ ГВ1</t>
  </si>
  <si>
    <t>Челахян</t>
  </si>
  <si>
    <t>Комплексное опробование оборудования присоединения ВЛ-110 кВ ГВ1</t>
  </si>
  <si>
    <t>29.30.2016</t>
  </si>
  <si>
    <t>Начальник ЭТО</t>
  </si>
  <si>
    <t>Г.В. Челахян</t>
  </si>
  <si>
    <t>График реализации инвестпрограммы "Электроснабжение 2016" (реконструкция Т2 ГПП-1)</t>
  </si>
  <si>
    <t>Заключить договор на реализацию  2Т и 3Т ГПП-1</t>
  </si>
  <si>
    <t>Пиховкин Е.В.</t>
  </si>
  <si>
    <t>Реализация</t>
  </si>
  <si>
    <t>Произвести демонтаж тр-ров 2Т и 3Т ГПП-1</t>
  </si>
  <si>
    <t>Поставка шкафа ШЗТ в комплектации согласно проекту.</t>
  </si>
  <si>
    <t>Петров А.А.</t>
  </si>
  <si>
    <t>Поставка лотков и коробов "ДКС" для монтажа кабелей в яч. Т2 на ОРУ-110</t>
  </si>
  <si>
    <t>Поставка разъединителя РГНП-110</t>
  </si>
  <si>
    <t>Поставка Сириус-2-РН</t>
  </si>
  <si>
    <t>Поставка Сириус-Т</t>
  </si>
  <si>
    <t>Поставка Сириус-2-В</t>
  </si>
  <si>
    <t>Поставка релейной аппаратуры и конструктива панелей 2Р, 3Р, 2У</t>
  </si>
  <si>
    <t xml:space="preserve">Поставка ТМЦ для монтажа ОР-2 (металлопрокат -швеллер, уголок, лист, круг, полоса и т.п.), в т.ч. стоек для ОР-2 </t>
  </si>
  <si>
    <t>Поставка трансформаторов тока 6 кВ (для яч. 8)</t>
  </si>
  <si>
    <t>Поставка выключателя HGV-1168</t>
  </si>
  <si>
    <t>Заключить договор на монтаж выключателя HGV в яч.8 РУ-6-1 ГПП-1, а также силовых и вторичных цепей (в пределах камеры выключателя).</t>
  </si>
  <si>
    <t>Заключение договора</t>
  </si>
  <si>
    <t>Заклчюить договор на демонтаж шинного моста 6 кВ Т3 ГПП-1, включая опорные стойки.</t>
  </si>
  <si>
    <t>Заключить договор на монтаж фундамента и маслоприемника для тр-ра ТРДН 40000/110 на месте Т2 ГПП-1, а также на транспортировку, монтаж и капремонт тр-ра ТРДН 40000/110 на месте Т2 ГПП-1.</t>
  </si>
  <si>
    <t>Разработка проекта на демонтаж мазутного резервуара № 1</t>
  </si>
  <si>
    <t>Объект по ул. Киргизская - ул. 50-летия Ростсельмаш</t>
  </si>
  <si>
    <t>№ РЭ/ФО-РнД/613/12 от 11.09.2012</t>
  </si>
  <si>
    <t>№32300-12-00110783-4 от 20.12.2012</t>
  </si>
  <si>
    <t>66272,08 (16.01.13)</t>
  </si>
  <si>
    <t>ОАО "Донэнерго" КМЭС:</t>
  </si>
  <si>
    <t>ОАО "Донэнерго" КМЭС</t>
  </si>
  <si>
    <t>№ 1169</t>
  </si>
  <si>
    <t>Б.Калитва дом №63</t>
  </si>
  <si>
    <t>-----------</t>
  </si>
  <si>
    <t>от 24 июля 2009 г. N 9/18</t>
  </si>
  <si>
    <t>???</t>
  </si>
  <si>
    <t>Разногласия по разрешенной мощности</t>
  </si>
  <si>
    <t>№ 1168</t>
  </si>
  <si>
    <t>Б.Калитва дом №64</t>
  </si>
  <si>
    <t>от 24 июля 2009 г. N 9/17</t>
  </si>
  <si>
    <t>№ 2671</t>
  </si>
  <si>
    <t>Инвест Девелопмент</t>
  </si>
  <si>
    <t>№ 31/10 от 14.01.2010</t>
  </si>
  <si>
    <t>№93023/25/10/960/2509-1-1-3060 от 15.07.2010</t>
  </si>
  <si>
    <t>№ 2758</t>
  </si>
  <si>
    <t>Б.Калитва дом №29</t>
  </si>
  <si>
    <t>№ 203/10 от 02.02.2010</t>
  </si>
  <si>
    <t>№100329/25/10/960/2514-3-1-3994-240/10 от 17.09.2010</t>
  </si>
  <si>
    <t>оплачено 22.12.2010</t>
  </si>
  <si>
    <t>Акт № 720/2-158 от 06.06.2011</t>
  </si>
  <si>
    <t>№ 8/3 от 29.07.2010 г.</t>
  </si>
  <si>
    <t>№ 2885</t>
  </si>
  <si>
    <t>Б.Калитва дом №65</t>
  </si>
  <si>
    <t>№ 204/10 от 02.02.2010</t>
  </si>
  <si>
    <t>№99809-254/10 от 07.10.2010</t>
  </si>
  <si>
    <t>15% через 15 дней с даты договора,30% 60 дней,45% 15 днй после вып.ТУ акта границ,10% 15 дней с факта присоед</t>
  </si>
  <si>
    <t>№315/09 ТП</t>
  </si>
  <si>
    <t>№ 2966</t>
  </si>
  <si>
    <t>ООО "Калитва-Торг" торговое место, г. Б.К., ул. Машиностроителей</t>
  </si>
  <si>
    <t>№ 43/11 от 18.01.2011</t>
  </si>
  <si>
    <t>№ 2242-2244</t>
  </si>
  <si>
    <t>РЭ/ФО-Рнд/861/12 от 12.12.2012г.</t>
  </si>
  <si>
    <t>№12500-13-00127045-1</t>
  </si>
  <si>
    <t>акт №86877 от 10.10.2013</t>
  </si>
  <si>
    <t>№ 2242 от 13.07.2011</t>
  </si>
  <si>
    <t>ФГУП "УВО Минтранспорта РФ", г. Белая Калитва</t>
  </si>
  <si>
    <t>№ 2439/11 от 04.08.2011</t>
  </si>
  <si>
    <t>№ 2243 от 13.07.2011</t>
  </si>
  <si>
    <t>Шашлов А.Н. жил. дом, г.Белая Калитва ул. Давыдова 15</t>
  </si>
  <si>
    <t>Греков Д.М. жил. дом, г.Белая Калитва ул. Кольцова 6в</t>
  </si>
  <si>
    <t>№ 2244 от 13.07.2011</t>
  </si>
  <si>
    <t>ООО "Торговый центр", рекламный щит</t>
  </si>
  <si>
    <t>ИП Мусаилян В.С. г. Белая Калитва ул. Машиностроителей</t>
  </si>
  <si>
    <t>Овчинников А.М. магазин, г. Б. К. ул. Машиностроителей, 56а</t>
  </si>
  <si>
    <t>Мунтян В.И. магазин, г. Белая Калитва ул. Крайняя, 223</t>
  </si>
  <si>
    <t>ООО "Планета Фарм" г.Белая Калитва ул. Машиностроителей, 12</t>
  </si>
  <si>
    <t>Туркова Л.В. жил. дом, г. Белая Калитва ул. Крайняя, 7</t>
  </si>
  <si>
    <t>Мунтян В.И. жил. дом, г. Белая Калитва ул. Крайняя, 223</t>
  </si>
  <si>
    <t>Шевченко Г.И. жил. дом, г. Белая Калитва ул. Крайняя 2В</t>
  </si>
  <si>
    <t>ИП Буханевич Г.А. промтов. маг., Б.К. ул.Машиностроительный, 18</t>
  </si>
  <si>
    <t>ЗАО "Союзлифтмонтаж-Юг", г. Б.К. ул. Машиностроителей 4/1</t>
  </si>
  <si>
    <t>ИП Шашлова Е.Ф. торг. павильон "Белый Аист"</t>
  </si>
  <si>
    <t>Костина Е.В. нежил. пом., г. Белая Калитва ул. Крайняя, 23</t>
  </si>
  <si>
    <t>Костин В.В. нежил. пом., г. Б. К. ул.Машиностроителей, 30</t>
  </si>
  <si>
    <t>Лежнева М.Н. нежил. пом., маг., г. Б. К. ул.Машиностроителей, 16</t>
  </si>
  <si>
    <t>ИП Каравашкина В.А. торг. пав., г. Б. К. ул.Машиностроителей</t>
  </si>
  <si>
    <t>Меликян В.А. магазин, г. Б. К. ул.Машиностроителей</t>
  </si>
  <si>
    <t>Волков А.С. торг. павильон, г. Б. К. ул.Машиностроителей</t>
  </si>
  <si>
    <t>Амирханян С.С. рекламные щиты, г. Белая Калитва</t>
  </si>
  <si>
    <t>№ 1733</t>
  </si>
  <si>
    <t>Объект (торговый центр), присоединяемый к сетям ОАО "Донэнерго"</t>
  </si>
  <si>
    <t>№ РЭ/РнД/492/14 от 04.06.2014</t>
  </si>
  <si>
    <t>№61-1-14-00175249-220/14 от 13.10.2014</t>
  </si>
  <si>
    <t>65 081,68 (оплачено 10.11.2014)</t>
  </si>
  <si>
    <t>№1301056 от 30.12.2014</t>
  </si>
  <si>
    <t>№54/3 от 30.09.2014</t>
  </si>
  <si>
    <t>п.п. 11 В-3</t>
  </si>
  <si>
    <t>Информация об аннулированных заявках на технологическое присоединение к электрическим сетям ООО "Ростсельмашэнерго" за 2010 г.</t>
  </si>
  <si>
    <t>Информация об аннулированных заявках на технологическое присоединение к электрическим сетям ООО "Ростсельмашэнерго" за 2011 г.</t>
  </si>
  <si>
    <t>Информация об аннулированных заявках на технологическое присоединение к электрическим сетям ООО "Ростсельмашэнерго" за 2012 г.</t>
  </si>
  <si>
    <t>Информация об аннулированных заявках на технологическое присоединение к электрическим сетям ООО "Ростсельмашэнерго" за 2013 г.</t>
  </si>
  <si>
    <t>Информация об аннулированных заявках на технологическое присоединение к электрическим сетям ООО "Ростсельмашэнерго" за 2014 г.</t>
  </si>
  <si>
    <t>Информация об аннулированных заявках на технологическое присоединение к электрическим сетям ООО "Ростсельмашэнерго" за 2015 г.</t>
  </si>
  <si>
    <t>Информация об аннулированных заявках на технологическое присоединение к электрическим сетям ООО "Ростсельмашэнерго" за 2016 г.</t>
  </si>
  <si>
    <t>Информация об аннулированных заявках на технологическое присоединение к электрическим сетям ООО "Ростсельмашэнерго" за 2017 г.</t>
  </si>
  <si>
    <t>п.п. 11 В-4</t>
  </si>
  <si>
    <t>Информация о выполненных технологических присоединениях к электрическим сетям ООО "Ростсельмашэнерго" за 2010 г.</t>
  </si>
  <si>
    <t>Главный электрик, ведущий экономист</t>
  </si>
  <si>
    <t>подлежит опубликованию на официальном сайте в сети "Интернет", определяемом Правительством Российской Федерации, ежегодно, до 1 марта, или в сроки, предусмотренные Правилами утверждения инвестиционных программ субъектов электроэнергетики для раскрытия информации о проекте изменений в инвестиционную программу, и обновляется в сроки, установленные Правилами утверждения инвестиционных программ субъектов электроэнергетики.</t>
  </si>
  <si>
    <t>вкладка п.п. 11 Ж</t>
  </si>
  <si>
    <t>а) 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t>
  </si>
  <si>
    <t>б) разработка сетевой организацией проектной документации согласно обязательствам, предусмотренным техническими условиями;</t>
  </si>
  <si>
    <t>в) 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</si>
  <si>
    <t>Измерительные приборы и приспособления</t>
  </si>
  <si>
    <t>Поверка</t>
  </si>
  <si>
    <t>№ п.п.</t>
  </si>
  <si>
    <t>Статья</t>
  </si>
  <si>
    <t>Код</t>
  </si>
  <si>
    <t>Номенклатура</t>
  </si>
  <si>
    <t>Март</t>
  </si>
  <si>
    <t>Кол-во</t>
  </si>
  <si>
    <t>12.1.121</t>
  </si>
  <si>
    <t>0009103567</t>
  </si>
  <si>
    <t>Круг латунный ф 60 ГОСТ 1628-78</t>
  </si>
  <si>
    <t>кг</t>
  </si>
  <si>
    <t>0000401377</t>
  </si>
  <si>
    <t>Круг медный ф 60 ГОСТ 1535-91</t>
  </si>
  <si>
    <t>0009004066</t>
  </si>
  <si>
    <t>Лист стальной 2х1250х2500 ГОСТ 19903-74</t>
  </si>
  <si>
    <t>т</t>
  </si>
  <si>
    <t>0000307012</t>
  </si>
  <si>
    <t>Лист стальной 3х1250х2500 ГОСТ 19903-74</t>
  </si>
  <si>
    <t>0000501032</t>
  </si>
  <si>
    <t>Лист стальной оцинкованный 0,55х1250х2500 ГОСТ 149</t>
  </si>
  <si>
    <t>0000307005</t>
  </si>
  <si>
    <t>Полоса стальная 4х25 ГОСТ 103-76</t>
  </si>
  <si>
    <t>7</t>
  </si>
  <si>
    <t>0000307031</t>
  </si>
  <si>
    <t>Полоса стальная 5х40 ГОСТ 103-76</t>
  </si>
  <si>
    <t>8</t>
  </si>
  <si>
    <t>0000314510</t>
  </si>
  <si>
    <t>Амортизация ОС</t>
  </si>
  <si>
    <t>2.2.</t>
  </si>
  <si>
    <t>Отчисления на социальные нужды</t>
  </si>
  <si>
    <t>2.3.</t>
  </si>
  <si>
    <t>Энергия на хозяйственные нужды</t>
  </si>
  <si>
    <t>2.4.</t>
  </si>
  <si>
    <t>Налоги и сборы</t>
  </si>
  <si>
    <t>2.4.1.</t>
  </si>
  <si>
    <t>Плата за землю</t>
  </si>
  <si>
    <t>2.4.2.</t>
  </si>
  <si>
    <t>Транспортный налог</t>
  </si>
  <si>
    <t>2.4.3.</t>
  </si>
  <si>
    <t>Налог на имущество</t>
  </si>
  <si>
    <t>2.4.4.</t>
  </si>
  <si>
    <t>Налог на прибыль</t>
  </si>
  <si>
    <t>2.5.</t>
  </si>
  <si>
    <t>Плата за аренду имущества</t>
  </si>
  <si>
    <t>2.6.</t>
  </si>
  <si>
    <t>Оплата услуг ОАО "ФСК ЕЭС"</t>
  </si>
  <si>
    <t>2.7.</t>
  </si>
  <si>
    <t>Прочие обоснованные неподконтрольные расходы</t>
  </si>
  <si>
    <t>2.8.</t>
  </si>
  <si>
    <t>Капитальные вложения производственного характера из прибыли</t>
  </si>
  <si>
    <t>2.9.</t>
  </si>
  <si>
    <t>Расходы, связанные с компенсацией выпадающих доходов от льготного технологического присоединения</t>
  </si>
  <si>
    <t xml:space="preserve">3. </t>
  </si>
  <si>
    <t>Результаты деятельности регулируемой организации</t>
  </si>
  <si>
    <t>Недополученный доход</t>
  </si>
  <si>
    <t xml:space="preserve">3.2. </t>
  </si>
  <si>
    <t>Избыток средств, полученный в предыдущем периоде регулирования</t>
  </si>
  <si>
    <t>4.</t>
  </si>
  <si>
    <t>Корректировка НВВ с учетом анализа показателей надежности и качества</t>
  </si>
  <si>
    <t>НВВ на содержание электрических сетей</t>
  </si>
  <si>
    <t>НВВ на покупку потерь</t>
  </si>
  <si>
    <t>ИТОГО НВВ</t>
  </si>
  <si>
    <t>Смета расходов ООО "Ростсельмашэнерго" на 2010-2014 гг. в тыс. руб.</t>
  </si>
  <si>
    <t>Утверждено РСТ на 2010 г.</t>
  </si>
  <si>
    <t>Фактически использовано 2010</t>
  </si>
  <si>
    <t>Утверждено РСТ на 2011 г.</t>
  </si>
  <si>
    <t>Фактически использовано 2011</t>
  </si>
  <si>
    <t>Утверждено РСТ на 2012 г. (всего)</t>
  </si>
  <si>
    <t>Утверждено РСТ на 2012 г.(на сторону)</t>
  </si>
  <si>
    <t>Фактически использовано 2012</t>
  </si>
  <si>
    <t>Утверждено РСТ на 2013 г. (всего)</t>
  </si>
  <si>
    <t>Утверждено РСТ на 2013 г. (на сторону)</t>
  </si>
  <si>
    <t>Фактически использовано 2013</t>
  </si>
  <si>
    <t>Утверждено РСТ на 2014 г. (всего)</t>
  </si>
  <si>
    <t>Утверждено РСТ на 2014 г. (на сторону)</t>
  </si>
  <si>
    <t>Фактически использовано 2014</t>
  </si>
  <si>
    <t>Сырье, основные материалы</t>
  </si>
  <si>
    <t>Вспомогательные материалы</t>
  </si>
  <si>
    <t>из них на ремонт</t>
  </si>
  <si>
    <t>3.</t>
  </si>
  <si>
    <t>Работы и услуги производственного  характера</t>
  </si>
  <si>
    <t>Топливо на технологические цели</t>
  </si>
  <si>
    <t>5.</t>
  </si>
  <si>
    <t xml:space="preserve">Энергия </t>
  </si>
  <si>
    <t>5.1.</t>
  </si>
  <si>
    <t>Энергия на технологические цели (покупная энергия)</t>
  </si>
  <si>
    <t>5.2.</t>
  </si>
  <si>
    <t>6.</t>
  </si>
  <si>
    <t>Затраты на оплату труда</t>
  </si>
  <si>
    <t>7.</t>
  </si>
  <si>
    <t>8.</t>
  </si>
  <si>
    <t>Амортизация основных средств</t>
  </si>
  <si>
    <t>9.</t>
  </si>
  <si>
    <t>Прочие затраты всего , в том числе:</t>
  </si>
  <si>
    <t>9.1.</t>
  </si>
  <si>
    <t>Целевые средства на НИОКР</t>
  </si>
  <si>
    <t>9.2.</t>
  </si>
  <si>
    <t>Средства на  страхование</t>
  </si>
  <si>
    <t>9.3.</t>
  </si>
  <si>
    <t>Плата за предельно допустимые выбросы (сбросы)</t>
  </si>
  <si>
    <t>9.4.</t>
  </si>
  <si>
    <t>Оплата за услуги по организации функционирования и развитию ЕЭС России, оперативно-диспетчерскому управлению в электроэнергетике, организации функционирования торговой системы оптового рынка электрической энергии (мощности), передаче электрической энергии</t>
  </si>
  <si>
    <t>9.5.</t>
  </si>
  <si>
    <t>Отчисления в ремонтный фонд (в случае его формирования)</t>
  </si>
  <si>
    <t>9.6.</t>
  </si>
  <si>
    <t>Водный налог (ГЭС)</t>
  </si>
  <si>
    <t>9.7.</t>
  </si>
  <si>
    <t>Непроизводственные расходы (налоги и другие обязательные платежи и сборы)</t>
  </si>
  <si>
    <t>9.7.1.</t>
  </si>
  <si>
    <t>Налог на землю(арендная плата)</t>
  </si>
  <si>
    <t>9.7.2.</t>
  </si>
  <si>
    <t>Налог на пользователей автодорог</t>
  </si>
  <si>
    <t>9.8.</t>
  </si>
  <si>
    <t>Другие затраты, относимые на себестоимость продукции,всего</t>
  </si>
  <si>
    <t>в т.ч.</t>
  </si>
  <si>
    <t>9.8.1.</t>
  </si>
  <si>
    <t>СИЗ, спецодежда и спецпитание</t>
  </si>
  <si>
    <t>Подготовка кадров</t>
  </si>
  <si>
    <t>ГСМ</t>
  </si>
  <si>
    <t>Общепроизводственные расходы</t>
  </si>
  <si>
    <t>Общехозяйственные расходы</t>
  </si>
  <si>
    <t>10.</t>
  </si>
  <si>
    <t>Итого расходов</t>
  </si>
  <si>
    <t>11.</t>
  </si>
  <si>
    <t>Недополученный по независящим причинам доход</t>
  </si>
  <si>
    <t>12.</t>
  </si>
  <si>
    <t>13.</t>
  </si>
  <si>
    <t>Расчетные расходы по производству продукции (услуг)</t>
  </si>
  <si>
    <t>14.</t>
  </si>
  <si>
    <t>14.1.</t>
  </si>
  <si>
    <t xml:space="preserve">   - в т.ч.инвестиции</t>
  </si>
  <si>
    <t>13.1.1.</t>
  </si>
  <si>
    <t>производство электроэнергии</t>
  </si>
  <si>
    <t>13.1.2.</t>
  </si>
  <si>
    <t>покупная электроэнергия</t>
  </si>
  <si>
    <t>15.</t>
  </si>
  <si>
    <t>16.</t>
  </si>
  <si>
    <t xml:space="preserve">НВВ на покупку потерь </t>
  </si>
  <si>
    <t>17.</t>
  </si>
  <si>
    <t>Итого НВВ</t>
  </si>
  <si>
    <t>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ОТСУТСТВУЮТ</t>
  </si>
  <si>
    <t>п. 9 В</t>
  </si>
  <si>
    <t xml:space="preserve"> технологического присоединения заявителей к сети, шт.;</t>
  </si>
  <si>
    <t>Nнс заяв_тпр</t>
  </si>
  <si>
    <t xml:space="preserve">по которым сетевой организацией в соответствующий расчетный период направлен проект договора об осуществлении </t>
  </si>
  <si>
    <t>технологического присоединения заявителей к сети с нарушением установленных сроков его направления, шт.</t>
  </si>
  <si>
    <t>Nзаяв_тпр=1</t>
  </si>
  <si>
    <t>В случае отсутствия у сетевой организации поданных в установленном порядке заявок на технологическое присоединение к сети,</t>
  </si>
  <si>
    <t xml:space="preserve"> в отношении которых сетевой организацией в соответствующий расчетный период направлен проект договора об осуществлении </t>
  </si>
  <si>
    <t xml:space="preserve">технологического присоединения заявителей к сети, показатель качества рассмотрения заявок на технологическое присоединение </t>
  </si>
  <si>
    <t>к сети принимается равным единице</t>
  </si>
  <si>
    <t>Показатель качества исполнения договоров об осуществлении технологического присоединения заявителей к сети (Пнс_тпр) определяется по формуле:</t>
  </si>
  <si>
    <t>Пнс_тпр=Nсд_тпр / max (1, Nсд_тпр - Nнс сд_тпр) =</t>
  </si>
  <si>
    <t>Nсд_тпр</t>
  </si>
  <si>
    <t xml:space="preserve">число договоров об осуществлении технологического присоединения заявителей к сети, исполненных в соответствующем </t>
  </si>
  <si>
    <t>расчетном периоде и по которым имеется подписанный сторонами акт о технологическом присоединении, шт.;</t>
  </si>
  <si>
    <t>Nнс сд_тпр</t>
  </si>
  <si>
    <t xml:space="preserve">расчетном периоде и по которым имеется подписанный сторонами акт о технологическом присоединении и по которым </t>
  </si>
  <si>
    <t xml:space="preserve">произошло нарушение установленных сроков технологического присоединения, шт. При этом не учитываются договоры об </t>
  </si>
  <si>
    <t>Гвоздь 10мм</t>
  </si>
  <si>
    <t>0006415024</t>
  </si>
  <si>
    <t>Гвоздь 25мм</t>
  </si>
  <si>
    <t>0006902041</t>
  </si>
  <si>
    <t>Гвоздь 30мм</t>
  </si>
  <si>
    <t>0006415108</t>
  </si>
  <si>
    <t>Гвоздь 60мм</t>
  </si>
  <si>
    <t>0006415087</t>
  </si>
  <si>
    <t>Гвоздь 70мм</t>
  </si>
  <si>
    <t>0006415079</t>
  </si>
  <si>
    <t>Гвоздь 80мм</t>
  </si>
  <si>
    <t>Пена монтажная</t>
  </si>
  <si>
    <t>Герметик силиконовый прозрачный</t>
  </si>
  <si>
    <t>0003406204</t>
  </si>
  <si>
    <t>Герметик термостойкий 137-83</t>
  </si>
  <si>
    <t>0003201231</t>
  </si>
  <si>
    <t>Грунт ГФ-021 красно-коричневый</t>
  </si>
  <si>
    <t>0003201233</t>
  </si>
  <si>
    <t>Грунт ГФ-021 серый</t>
  </si>
  <si>
    <t>0003704315</t>
  </si>
  <si>
    <t>Доска необрезная 25х9000</t>
  </si>
  <si>
    <t>0003704316</t>
  </si>
  <si>
    <t>Доска необрезная 40х9000</t>
  </si>
  <si>
    <t>0009003722</t>
  </si>
  <si>
    <t>Известь гашеная</t>
  </si>
  <si>
    <t>0000000006</t>
  </si>
  <si>
    <t>Кирпич М-100 пустотелый</t>
  </si>
  <si>
    <t>0003408021</t>
  </si>
  <si>
    <t>Клей "Момент" 125г</t>
  </si>
  <si>
    <t>0003408024</t>
  </si>
  <si>
    <t>Клей 88</t>
  </si>
  <si>
    <t>0003704724</t>
  </si>
  <si>
    <t>Клей БФ-6</t>
  </si>
  <si>
    <t>0003406016</t>
  </si>
  <si>
    <t>Клей ПВА</t>
  </si>
  <si>
    <t>0003803022</t>
  </si>
  <si>
    <t>Линокром ТКП</t>
  </si>
  <si>
    <t>м2</t>
  </si>
  <si>
    <t>0003803021</t>
  </si>
  <si>
    <t>Линокром ТПП</t>
  </si>
  <si>
    <t>0002104003</t>
  </si>
  <si>
    <t>Мешковина</t>
  </si>
  <si>
    <t>0003814032</t>
  </si>
  <si>
    <t>Песок карьерный</t>
  </si>
  <si>
    <t>0003802093</t>
  </si>
  <si>
    <t>Стекло оконное 4 мм</t>
  </si>
  <si>
    <t>0001301080</t>
  </si>
  <si>
    <t>Фанера 8 мм</t>
  </si>
  <si>
    <t>0003801028</t>
  </si>
  <si>
    <t>Цемент М-500</t>
  </si>
  <si>
    <t>0009103995</t>
  </si>
  <si>
    <t>Штапик оконный</t>
  </si>
  <si>
    <t>Щебень фракция 20-40</t>
  </si>
  <si>
    <t>Щебень фракция 40-70</t>
  </si>
  <si>
    <t>Дверь межкомнатная глухая с монтажом</t>
  </si>
  <si>
    <t>Комплект перегородок санитарных</t>
  </si>
  <si>
    <t>Труба белая РN 20 Ду20</t>
  </si>
  <si>
    <t>Уголок полипропиленовый 90гр. Ду 20</t>
  </si>
  <si>
    <t>Муфта полипропиленовая 20</t>
  </si>
  <si>
    <t>Муфта комбинированная с наружной резьбой 25-1/2"</t>
  </si>
  <si>
    <t>Переходник полипропиленовый 20-1/2" резьба наружн.</t>
  </si>
  <si>
    <t>Тройник полипропиленовый 20</t>
  </si>
  <si>
    <t>Клипса ф 20</t>
  </si>
  <si>
    <t>Угол полипропиленовый 90гр. 25</t>
  </si>
  <si>
    <t>Опора полипропиленовая 40</t>
  </si>
  <si>
    <t>Сифон для раковины</t>
  </si>
  <si>
    <t>Смеситель для раковины (в комплекте со шлангом)</t>
  </si>
  <si>
    <t>Подводка 30см для смесителя</t>
  </si>
  <si>
    <t>0003201237</t>
  </si>
  <si>
    <t>Эмаль ПФ-115 белая</t>
  </si>
  <si>
    <t>0003201300</t>
  </si>
  <si>
    <t>Эмаль ПФ-115 голубая</t>
  </si>
  <si>
    <t>0003201239</t>
  </si>
  <si>
    <t>Эмаль ПФ-115 желтая</t>
  </si>
  <si>
    <t>0003201243</t>
  </si>
  <si>
    <t>Эмаль ПФ-115 зеленая</t>
  </si>
  <si>
    <t>0003201236</t>
  </si>
  <si>
    <t>Эмаль ПФ-115 красная</t>
  </si>
  <si>
    <t>0003201256</t>
  </si>
  <si>
    <t>Эмаль ПФ-115 салатная</t>
  </si>
  <si>
    <t>0003201234</t>
  </si>
  <si>
    <t>Эмаль ПФ-115 светло-голубая</t>
  </si>
  <si>
    <t>0003201242</t>
  </si>
  <si>
    <t>Эмаль ПФ-115 серая</t>
  </si>
  <si>
    <t>0003201235</t>
  </si>
  <si>
    <t>Эмаль ПФ-115 синяя</t>
  </si>
  <si>
    <t>0003201238</t>
  </si>
  <si>
    <t>Эмаль ПФ-115 черная</t>
  </si>
  <si>
    <t>12.1.140</t>
  </si>
  <si>
    <t>Масло трансформаторное ТСп</t>
  </si>
  <si>
    <t>Л</t>
  </si>
  <si>
    <t>0003411069</t>
  </si>
  <si>
    <t>Тринатрийфосфат технический</t>
  </si>
  <si>
    <t>12.1.160</t>
  </si>
  <si>
    <t>0007407122</t>
  </si>
  <si>
    <t>Ботинки диэлектрические</t>
  </si>
  <si>
    <t>пар</t>
  </si>
  <si>
    <t xml:space="preserve">Ботинки кожаные  </t>
  </si>
  <si>
    <t xml:space="preserve">Валенки </t>
  </si>
  <si>
    <t>0009103869</t>
  </si>
  <si>
    <t>Канат страховочный с карабином, 20м</t>
  </si>
  <si>
    <t>0009103872</t>
  </si>
  <si>
    <t>Канат страховочный с карабином, 30 м</t>
  </si>
  <si>
    <t>0007410240</t>
  </si>
  <si>
    <t>Каска защитная белая</t>
  </si>
  <si>
    <t>0007410234</t>
  </si>
  <si>
    <t>Каска защитная оранжевая</t>
  </si>
  <si>
    <t>0007410233</t>
  </si>
  <si>
    <t>Коврик диэлектрический 75х75</t>
  </si>
  <si>
    <t>0007403524</t>
  </si>
  <si>
    <t>Костюм зимний с логотипом</t>
  </si>
  <si>
    <t>Костюм летний с логотипом</t>
  </si>
  <si>
    <t>0007403165</t>
  </si>
  <si>
    <t xml:space="preserve">абоненты  ЦЭС ОАО "Донэнерго" </t>
  </si>
  <si>
    <t>СВОДНАЯ ВЕДОМОСТЬ АКТИВНОЙ НАГРУЗКИ В ДЕНЬ ЕДИНОГО ЗАМЕРА</t>
  </si>
  <si>
    <t>20 июня</t>
  </si>
  <si>
    <t>2012 года</t>
  </si>
  <si>
    <t>19 декабря</t>
  </si>
  <si>
    <t>СВОДНАЯ ВЕДОМОСТЬ РЕАКТИВНОЙ НАГРУЗКИ В ДЕНЬ ЕДИНОГО ЗАМЕРА</t>
  </si>
  <si>
    <t>19 июня</t>
  </si>
  <si>
    <t>2013 года</t>
  </si>
  <si>
    <t>18 декабря</t>
  </si>
  <si>
    <t>абоненты  ЦЭС МКП "Ростгорсвет"</t>
  </si>
  <si>
    <t>18 июня</t>
  </si>
  <si>
    <t>2014 года</t>
  </si>
  <si>
    <t>17 декабря</t>
  </si>
  <si>
    <t>17 июня</t>
  </si>
  <si>
    <t>2015 года</t>
  </si>
  <si>
    <t>16 декабря</t>
  </si>
  <si>
    <t>15 июня</t>
  </si>
  <si>
    <t>2016 года</t>
  </si>
  <si>
    <t>п.п. 11 Е</t>
  </si>
  <si>
    <t>Процедура технологического присоединения:</t>
  </si>
  <si>
    <t>б) заключение договора;</t>
  </si>
  <si>
    <t>Ботинки кожаные д/защиты от повыш. температур</t>
  </si>
  <si>
    <t>Уголок стальной равнополочный 25х25х4 ГОСТ 8509-93</t>
  </si>
  <si>
    <t>9</t>
  </si>
  <si>
    <t>0009103597</t>
  </si>
  <si>
    <t>Уголок стальной равнополочный 40х40х5 ГОСТ 8509-93</t>
  </si>
  <si>
    <t>10</t>
  </si>
  <si>
    <t>0000314500</t>
  </si>
  <si>
    <t>Уголок стальной равнополочный 50х50х5 ГОСТ 8509-93</t>
  </si>
  <si>
    <t>11</t>
  </si>
  <si>
    <t>0003704199</t>
  </si>
  <si>
    <t>Уголок стальной равнополочный 75х75х7 ГОСТ 8509-93</t>
  </si>
  <si>
    <t>12</t>
  </si>
  <si>
    <t>0000301024</t>
  </si>
  <si>
    <t>Швеллер стальной 10 ГОСТ 8240-89</t>
  </si>
  <si>
    <t>13</t>
  </si>
  <si>
    <t>0000301506</t>
  </si>
  <si>
    <t>Швеллер стальной 12 ГОСТ 8240-89</t>
  </si>
  <si>
    <t>14</t>
  </si>
  <si>
    <t>0003704240</t>
  </si>
  <si>
    <t>Швеллер стальной 5 ГОСТ 8240-90</t>
  </si>
  <si>
    <t>15</t>
  </si>
  <si>
    <t>0000301023</t>
  </si>
  <si>
    <t>Швеллер стальной 8 ГОСТ 8240-89</t>
  </si>
  <si>
    <t>Сумма по статье</t>
  </si>
  <si>
    <t>16</t>
  </si>
  <si>
    <t>12.1.122</t>
  </si>
  <si>
    <t>0006943265</t>
  </si>
  <si>
    <t>Автотрансформатор однофазный регулируемый TDGC2-2-</t>
  </si>
  <si>
    <t>шт</t>
  </si>
  <si>
    <t>17</t>
  </si>
  <si>
    <t>0009004062</t>
  </si>
  <si>
    <t>Аккумулятор N-GL BP-196 1050 9,6В</t>
  </si>
  <si>
    <t>18</t>
  </si>
  <si>
    <t>0006901892</t>
  </si>
  <si>
    <t>Аккумулятор ВР 210N 7,2 В 1600 мАч</t>
  </si>
  <si>
    <t>19</t>
  </si>
  <si>
    <t>0009103868</t>
  </si>
  <si>
    <t>Аккумулятор ДТ 6045 (6В, 4,5А/ч, 20НR)</t>
  </si>
  <si>
    <t>20</t>
  </si>
  <si>
    <t>0006901949</t>
  </si>
  <si>
    <t>Антенна FA-SC55V.146-174 МГц</t>
  </si>
  <si>
    <t>21</t>
  </si>
  <si>
    <t>0009104453</t>
  </si>
  <si>
    <t>Батарея аккумуляторная тяговая кисл. 350А/ч</t>
  </si>
  <si>
    <t>22</t>
  </si>
  <si>
    <t>12.1.230</t>
  </si>
  <si>
    <t>0009104455</t>
  </si>
  <si>
    <t>Блок испытательный КИ 380 У3</t>
  </si>
  <si>
    <t>23</t>
  </si>
  <si>
    <t>0003621118</t>
  </si>
  <si>
    <t>Блок питания БПЗ-401</t>
  </si>
  <si>
    <t>24</t>
  </si>
  <si>
    <t>0003704253</t>
  </si>
  <si>
    <t>Блок питания БПН-1002</t>
  </si>
  <si>
    <t>25</t>
  </si>
  <si>
    <t>0003704254</t>
  </si>
  <si>
    <t>Блок питания БПТ-1002</t>
  </si>
  <si>
    <t>26</t>
  </si>
  <si>
    <t>0009103719</t>
  </si>
  <si>
    <t>Выключатель автоматический А 3144 600А</t>
  </si>
  <si>
    <t>27</t>
  </si>
  <si>
    <t>0009103059</t>
  </si>
  <si>
    <t>Выключатель автоматический АВ2М-10СВ55-41 600А</t>
  </si>
  <si>
    <t>28</t>
  </si>
  <si>
    <t>0003704039</t>
  </si>
  <si>
    <t>Выключатель автоматический АВ2М-20СВ 2000А</t>
  </si>
  <si>
    <t>29</t>
  </si>
  <si>
    <t>0003620006</t>
  </si>
  <si>
    <t>Выключатель автоматический АП 50Б 3МT 10А</t>
  </si>
  <si>
    <t>30</t>
  </si>
  <si>
    <t>0003620030</t>
  </si>
  <si>
    <t>Выключатель автоматический АП 50Б 3МT 40А</t>
  </si>
  <si>
    <t>31</t>
  </si>
  <si>
    <t>0003621086</t>
  </si>
  <si>
    <t>Выключатель автоматический АП 50Б 3МТ 16А</t>
  </si>
  <si>
    <t>32</t>
  </si>
  <si>
    <t>0003704962</t>
  </si>
  <si>
    <t>Выключатель автоматический АП 50Б 3МТ 2,5А</t>
  </si>
  <si>
    <t>33</t>
  </si>
  <si>
    <t>0003704858</t>
  </si>
  <si>
    <t>Выключатель автоматический АП 50Б 3МТ 25А</t>
  </si>
  <si>
    <t>34</t>
  </si>
  <si>
    <t>0003621174</t>
  </si>
  <si>
    <t>Выключатель автоматический АП 50Б 3МТ 6,3А</t>
  </si>
  <si>
    <t>35</t>
  </si>
  <si>
    <t>0003704963</t>
  </si>
  <si>
    <t>Выключатель автоматический АП 50БК 2,5А</t>
  </si>
  <si>
    <t>36</t>
  </si>
  <si>
    <t>0003704263</t>
  </si>
  <si>
    <t>Выключатель автоматический АП 50БК 6,3А</t>
  </si>
  <si>
    <t>37</t>
  </si>
  <si>
    <t>0009104117</t>
  </si>
  <si>
    <t>Выключатель автоматический СЭЩ ТS-630 ETS33 (SHT220)</t>
  </si>
  <si>
    <t>38</t>
  </si>
  <si>
    <t>0009103718</t>
  </si>
  <si>
    <t>Выключатель автоматический Э25, 2500А</t>
  </si>
  <si>
    <t>39</t>
  </si>
  <si>
    <t>0006423067</t>
  </si>
  <si>
    <t>Гайка М10</t>
  </si>
  <si>
    <t>40</t>
  </si>
  <si>
    <t>0006423068</t>
  </si>
  <si>
    <t>Гайка М14</t>
  </si>
  <si>
    <t>41</t>
  </si>
  <si>
    <t>0006423066</t>
  </si>
  <si>
    <t>Гайка М8</t>
  </si>
  <si>
    <t>42</t>
  </si>
  <si>
    <t>0009104459</t>
  </si>
  <si>
    <t>Гильза медная под опрессовку ГМ 150-19 (КВТ)</t>
  </si>
  <si>
    <t>43</t>
  </si>
  <si>
    <t>0009104460</t>
  </si>
  <si>
    <t>Гильза медная под опрессовку ГМ 240-24 (КВТ)</t>
  </si>
  <si>
    <t>44</t>
  </si>
  <si>
    <t>0009104461</t>
  </si>
  <si>
    <t>Гильза медная под опрессовку ГМ 95-15 (КВТ)</t>
  </si>
  <si>
    <t>45</t>
  </si>
  <si>
    <t>0003703867</t>
  </si>
  <si>
    <t>Диод Д 226 Б</t>
  </si>
  <si>
    <t>46</t>
  </si>
  <si>
    <t>0003703868</t>
  </si>
  <si>
    <t>Диод Д-161-320-14 УХЛ2</t>
  </si>
  <si>
    <t>47</t>
  </si>
  <si>
    <t>0003704267</t>
  </si>
  <si>
    <t>Диод ДЛ132-50-10</t>
  </si>
  <si>
    <t>48</t>
  </si>
  <si>
    <t>0003704268</t>
  </si>
  <si>
    <t>Диод ДЛ132-80-10</t>
  </si>
  <si>
    <t>49</t>
  </si>
  <si>
    <t>0009103601</t>
  </si>
  <si>
    <t>Диод КД 208 А</t>
  </si>
  <si>
    <t>50</t>
  </si>
  <si>
    <t>0003703852</t>
  </si>
  <si>
    <t>Диод КД 522 Б</t>
  </si>
  <si>
    <t>51</t>
  </si>
  <si>
    <t>0003704548</t>
  </si>
  <si>
    <t>Диод КФ 202 Р</t>
  </si>
  <si>
    <t>52</t>
  </si>
  <si>
    <t>0009103721</t>
  </si>
  <si>
    <t>Диод КЦ 407 А</t>
  </si>
  <si>
    <t>53</t>
  </si>
  <si>
    <t>0009103465</t>
  </si>
  <si>
    <t>Дроссель 1И 400 ДНаТ 46-002 УХЛ1</t>
  </si>
  <si>
    <t>54</t>
  </si>
  <si>
    <t>0006910183</t>
  </si>
  <si>
    <t>Дроссель 1И ДРЛ 1000</t>
  </si>
  <si>
    <t>55</t>
  </si>
  <si>
    <t>0006910179</t>
  </si>
  <si>
    <t>Дроссель 1И ДРЛ 250</t>
  </si>
  <si>
    <t>56</t>
  </si>
  <si>
    <t>0006910180</t>
  </si>
  <si>
    <t>Дроссель 1И ДРЛ 400</t>
  </si>
  <si>
    <t>57</t>
  </si>
  <si>
    <t>0006910182</t>
  </si>
  <si>
    <t>Дроссель 1И ДРЛ 700</t>
  </si>
  <si>
    <t>58</t>
  </si>
  <si>
    <t>0009103598</t>
  </si>
  <si>
    <t>норматив технологических потерь электроэнергии при ее передачи по электрическим сетям на 2012 год 6,2 % от отпуска в сеть</t>
  </si>
  <si>
    <t>Уровень нормативных потерь утвержденный приказом МЭ РФ от 13.09.2012 г. №431 на 2013 г.:</t>
  </si>
  <si>
    <t>- отпуск электроэнергии в сеть 185'029 тыс. кВтч;</t>
  </si>
  <si>
    <t>норматив технологических потерь электроэнергии при ее передачи по электрическим сетям на 2013 год 5,78 % от отпуска в сеть</t>
  </si>
  <si>
    <t>Уровень нормативных потерь утвержденный приказом МЭ РФ от 13.09.2012 г. №431 на 2014 г.:</t>
  </si>
  <si>
    <t>норматив технологических потерь электроэнергии при ее передачи по электрическим сетям на 2014 год 5,78 % от отпуска в сеть</t>
  </si>
  <si>
    <t>Уровень нормативных потерь утвержденный постановлением РСТ РО от 25.12.2014 № 85/3 на 2015 г.:</t>
  </si>
  <si>
    <t>- отпуск электроэнергии в сеть 158 488,062 тыс. кВтч;</t>
  </si>
  <si>
    <t>норматив технологических потерь электроэнергии при ее передачи по электрическим сетям на 2015 год 5,52 % от отпуска в сеть</t>
  </si>
  <si>
    <r>
      <t xml:space="preserve">4) Тариф на передачу электроэнергии (мощности) по сетям ООО «Ростсельмашэнерго» в </t>
    </r>
    <r>
      <rPr>
        <b/>
        <sz val="11"/>
        <color indexed="8"/>
        <rFont val="Calibri"/>
        <family val="2"/>
        <charset val="204"/>
      </rPr>
      <t>2011г</t>
    </r>
    <r>
      <rPr>
        <sz val="11"/>
        <color theme="1"/>
        <rFont val="Calibri"/>
        <family val="2"/>
        <charset val="204"/>
        <scheme val="minor"/>
      </rPr>
      <t xml:space="preserve">
- Ставка на оплату технологических потерь </t>
    </r>
    <r>
      <rPr>
        <b/>
        <sz val="11"/>
        <color indexed="8"/>
        <rFont val="Calibri"/>
        <family val="2"/>
        <charset val="204"/>
      </rPr>
      <t>100,20</t>
    </r>
    <r>
      <rPr>
        <sz val="11"/>
        <color theme="1"/>
        <rFont val="Calibri"/>
        <family val="2"/>
        <charset val="204"/>
        <scheme val="minor"/>
      </rPr>
      <t xml:space="preserve"> руб./МВт*ч 
- Ставка на содержание сетей </t>
    </r>
    <r>
      <rPr>
        <b/>
        <sz val="11"/>
        <color indexed="8"/>
        <rFont val="Calibri"/>
        <family val="2"/>
        <charset val="204"/>
      </rPr>
      <t>49 856,24</t>
    </r>
    <r>
      <rPr>
        <sz val="11"/>
        <color theme="1"/>
        <rFont val="Calibri"/>
        <family val="2"/>
        <charset val="204"/>
        <scheme val="minor"/>
      </rPr>
      <t xml:space="preserve"> руб./МВт*мес 
установленного Постановлением РСТ Ростовской области от 28.12.2010 г. № 20/7; источник официального опубликования решения: Г. «Наше время» от 30.12.2010 №№490-491
Размер платы за технологическое присоединение осуществляется по индивидуальному тарифу устанавливаемому РСТ РО.</t>
    </r>
  </si>
  <si>
    <r>
      <t xml:space="preserve">5) Тариф на передачу электроэнергии (мощности) по сетям ООО «Ростсельмашэнерго» </t>
    </r>
    <r>
      <rPr>
        <b/>
        <sz val="11"/>
        <color indexed="8"/>
        <rFont val="Calibri"/>
        <family val="2"/>
        <charset val="204"/>
      </rPr>
      <t>с 01.01.2012 г по 30.06.2012 г</t>
    </r>
    <r>
      <rPr>
        <sz val="11"/>
        <color theme="1"/>
        <rFont val="Calibri"/>
        <family val="2"/>
        <charset val="204"/>
        <scheme val="minor"/>
      </rPr>
      <t xml:space="preserve">
- Ставка на оплату технологических потерь </t>
    </r>
    <r>
      <rPr>
        <b/>
        <sz val="11"/>
        <color indexed="8"/>
        <rFont val="Calibri"/>
        <family val="2"/>
        <charset val="204"/>
      </rPr>
      <t>106,92</t>
    </r>
    <r>
      <rPr>
        <sz val="11"/>
        <color theme="1"/>
        <rFont val="Calibri"/>
        <family val="2"/>
        <charset val="204"/>
        <scheme val="minor"/>
      </rPr>
      <t xml:space="preserve"> руб./МВт*ч 
- Ставка на содержание сетей </t>
    </r>
    <r>
      <rPr>
        <b/>
        <sz val="11"/>
        <color indexed="8"/>
        <rFont val="Calibri"/>
        <family val="2"/>
        <charset val="204"/>
      </rPr>
      <t>45 389,68</t>
    </r>
    <r>
      <rPr>
        <sz val="11"/>
        <color theme="1"/>
        <rFont val="Calibri"/>
        <family val="2"/>
        <charset val="204"/>
        <scheme val="minor"/>
      </rPr>
      <t xml:space="preserve"> руб./МВт*мес 
установленного Постановлением РСТ Ростовской области от 23.12.2011 г. № 28/4; источник официального опубликования решения: «Собрание правовых актов РО» №12,2011 год, ст. 2335, подписано в печать 24.01.2012
Размер платы за технологическое присоединение осуществляется по индивидуальному тарифу устанавливаемому РСТ РО.</t>
    </r>
  </si>
  <si>
    <r>
      <t xml:space="preserve">6) Тариф на передачу электроэнергии (мощности) по сетям ООО «Ростсельмашэнерго» с </t>
    </r>
    <r>
      <rPr>
        <b/>
        <sz val="11"/>
        <color indexed="8"/>
        <rFont val="Calibri"/>
        <family val="2"/>
        <charset val="204"/>
      </rPr>
      <t>01.07.2012 г по 31.12.2012 г</t>
    </r>
    <r>
      <rPr>
        <sz val="11"/>
        <color theme="1"/>
        <rFont val="Calibri"/>
        <family val="2"/>
        <charset val="204"/>
        <scheme val="minor"/>
      </rPr>
      <t xml:space="preserve">
- Ставка на оплату технологических потерь </t>
    </r>
    <r>
      <rPr>
        <b/>
        <sz val="11"/>
        <color indexed="8"/>
        <rFont val="Calibri"/>
        <family val="2"/>
        <charset val="204"/>
      </rPr>
      <t>115,73</t>
    </r>
    <r>
      <rPr>
        <sz val="11"/>
        <color theme="1"/>
        <rFont val="Calibri"/>
        <family val="2"/>
        <charset val="204"/>
        <scheme val="minor"/>
      </rPr>
      <t xml:space="preserve"> руб./МВт*ч 
- Ставка на содержание сетей </t>
    </r>
    <r>
      <rPr>
        <b/>
        <sz val="11"/>
        <color indexed="8"/>
        <rFont val="Calibri"/>
        <family val="2"/>
        <charset val="204"/>
      </rPr>
      <t>54 501,09</t>
    </r>
    <r>
      <rPr>
        <sz val="11"/>
        <color theme="1"/>
        <rFont val="Calibri"/>
        <family val="2"/>
        <charset val="204"/>
        <scheme val="minor"/>
      </rPr>
      <t xml:space="preserve"> руб./МВт*мес 
установленного Постановлением РСТ Ростовской области от 23.12.2011 г. № 28/4; источник официального опубликования решения: «Собрание правовых актов РО» №12,2011 год, ст. 2335, подписано в печать 24.01.2012
Размер платы за технологическое присоединение осуществляется по индивидуальному тарифу устанавливаемому РСТ РО.</t>
    </r>
  </si>
  <si>
    <t>Первомайский район г. Ростов-на Дону,</t>
  </si>
  <si>
    <t>участок "Промзона 2" п. Коксовый г. Белая Калитва.</t>
  </si>
  <si>
    <t>п.п. 11 Б 10-11</t>
  </si>
  <si>
    <t>В течение 2009 г. аварийных отключений электрической энергии, вызванных авариями или внеплановыми отключениями объектов электросетевого хозяйства не происходило.</t>
  </si>
  <si>
    <t>Техническое обслуживание аппаратуры РЗА ВЛ-110 кВ Р-4 1цепь в обьеме профилактического контроля (К)</t>
  </si>
  <si>
    <t>Отключение 1 секции 110 кВ ГПП-1</t>
  </si>
  <si>
    <t xml:space="preserve">Отсоединение шлейфов от ШР-110 ГВ-1 в сторону секции шин. Крепление шлейфов на ошиновке 1 секции 110 кВ. </t>
  </si>
  <si>
    <t>Включение 1 секции 110 кВ.</t>
  </si>
  <si>
    <t>Демонтаж линейного разъединителя ГВ1.</t>
  </si>
  <si>
    <t>Демонтаж масляного выключателя 110 кВ ГВ1.</t>
  </si>
  <si>
    <t>Демонтаж шинного разъединителя ГВ1.</t>
  </si>
  <si>
    <t>Монтаж шинного разъединителя ГВ1.</t>
  </si>
  <si>
    <t>Монтаж консоли для совместной установки выключателя ВГП-110 и трансформаторов ТГФМ-110.</t>
  </si>
  <si>
    <t>Монтаж линейного разъединителя ГВ1.</t>
  </si>
  <si>
    <t>Монтаж козырьков, регулировка ШР и ЛР, ошиновка яч. ГВ1</t>
  </si>
  <si>
    <t>Монтаж коробов от ШЗВ до ВГП и ТГФМ, прокладка кабелей в пределах ячейки ГВ1 ОРУ-110 кВ.</t>
  </si>
  <si>
    <t>Демонтаж аппаратуры на панелях управления и учета ГВ1</t>
  </si>
  <si>
    <t xml:space="preserve">Монтаж аппаратуры на панелях управления и учета ГВ1 </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</si>
  <si>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в соответствии с законодательством Российской Федерации и локальными документами, определяющими порядок проведения открытых закупочных процедур</t>
  </si>
  <si>
    <t>http://www.zakupki.gov.ru/
вкладка п.п. 11 З-2</t>
  </si>
  <si>
    <t>и</t>
  </si>
  <si>
    <t>о паспортах услуг (процессов) согласно единым стандартам качества обслуживания сетевыми организациями потребителей услуг сетевых организаций. Под паспортом услуги (процесса) понимается документ, содержащий систематизированную в хронологическом порядке информацию об этапах и о сроках оказываемой потребителям услуги (осуществляемого процесса), порядок определения стоимости (если законодательством Российской Федерации предусмотрено взимание платы за исполнение услуги (процесса), а также описание результата с указанием нормативных правовых актов, регламентирующих оказание соответствующей услуги (осуществление процесса)</t>
  </si>
  <si>
    <t>Система телеинспекции TIS 03-40/1 со счетчиком расстояния и автоуровнем</t>
  </si>
  <si>
    <t>Частотный преобразователь насоса № 3</t>
  </si>
  <si>
    <t>Частотный преобразователь насоса № 4</t>
  </si>
  <si>
    <t>Электрооборудование ячейки 110 кВ ГВ-1 ГПП-1</t>
  </si>
  <si>
    <t>ЯЧЕЙКА ГЕНЕРАТОРА</t>
  </si>
  <si>
    <t>0003704471</t>
  </si>
  <si>
    <t>Провод ПВ-1 2х1,5</t>
  </si>
  <si>
    <t>0003704472</t>
  </si>
  <si>
    <t>Провод ПВ-1 2х2,5</t>
  </si>
  <si>
    <t>0003605789</t>
  </si>
  <si>
    <t>Провод ПВ-3 1х1,5</t>
  </si>
  <si>
    <t>0003605087</t>
  </si>
  <si>
    <t>Провод ПВ-3 1х2,5</t>
  </si>
  <si>
    <t>0009103065</t>
  </si>
  <si>
    <t>Провод ПВ-3 1Х4</t>
  </si>
  <si>
    <t>0009103622</t>
  </si>
  <si>
    <t>Провод ПВ-3 2х1,5</t>
  </si>
  <si>
    <t>0003704474</t>
  </si>
  <si>
    <t>Провод ПВ-3 2х2,5</t>
  </si>
  <si>
    <t>0003605748</t>
  </si>
  <si>
    <t>Провод ПВС 2х1,5</t>
  </si>
  <si>
    <t>0009004078</t>
  </si>
  <si>
    <t>Провод ПВС 2х2,5</t>
  </si>
  <si>
    <t>0003605804</t>
  </si>
  <si>
    <t>Провод ПВС 2х4</t>
  </si>
  <si>
    <t>0003605759</t>
  </si>
  <si>
    <t>Провод ПВС 3х1,5</t>
  </si>
  <si>
    <t>0003605801</t>
  </si>
  <si>
    <t>Провод ПВС 3х2,5</t>
  </si>
  <si>
    <t>0003605848</t>
  </si>
  <si>
    <t>Провод ПВС 3х4</t>
  </si>
  <si>
    <t>0003605785</t>
  </si>
  <si>
    <t>Провод ПУНП 2х1,5</t>
  </si>
  <si>
    <t>0003605722</t>
  </si>
  <si>
    <t>Провод ПУНП 2х2,5</t>
  </si>
  <si>
    <t>0003605947</t>
  </si>
  <si>
    <t>Провод ПУНП 2х4,0</t>
  </si>
  <si>
    <t>0003605768</t>
  </si>
  <si>
    <t>Провод ПУНП 3х1,5</t>
  </si>
  <si>
    <t>0003605841</t>
  </si>
  <si>
    <t>Провод ПУНП 3х2,5</t>
  </si>
  <si>
    <t>0003605919</t>
  </si>
  <si>
    <t>Провод ПУНП 3х4</t>
  </si>
  <si>
    <t>0003411101</t>
  </si>
  <si>
    <t>Пропан (1балон-40л)</t>
  </si>
  <si>
    <t>0002801102</t>
  </si>
  <si>
    <t>Резина МБС-10</t>
  </si>
  <si>
    <t>0002801008</t>
  </si>
  <si>
    <t>Резина МБС-20</t>
  </si>
  <si>
    <t>0003704464</t>
  </si>
  <si>
    <t>Резина МБС-4</t>
  </si>
  <si>
    <t>0003704478</t>
  </si>
  <si>
    <t>Резина МБС-5</t>
  </si>
  <si>
    <t>0002801019</t>
  </si>
  <si>
    <t>Резина МБС-6</t>
  </si>
  <si>
    <t>0000230836</t>
  </si>
  <si>
    <t>Салфетка техническая х/б 40х40</t>
  </si>
  <si>
    <t>0009104579</t>
  </si>
  <si>
    <t>Саморез 3,5х30</t>
  </si>
  <si>
    <t>0006415111</t>
  </si>
  <si>
    <t>Саморез 3,5х41</t>
  </si>
  <si>
    <t>упак</t>
  </si>
  <si>
    <t>0009103992</t>
  </si>
  <si>
    <t>Саморез 4,0х20</t>
  </si>
  <si>
    <t>0009104242</t>
  </si>
  <si>
    <t>Саморез 4,0х50</t>
  </si>
  <si>
    <t>0009103624</t>
  </si>
  <si>
    <t>Стеклотекстолит 10мм</t>
  </si>
  <si>
    <t>0003704031</t>
  </si>
  <si>
    <t>Стеклотекстолит 20мм</t>
  </si>
  <si>
    <t>0009103738</t>
  </si>
  <si>
    <t>Стеклотекстолит 3мм</t>
  </si>
  <si>
    <t>0009103993</t>
  </si>
  <si>
    <t>Стеклотекстолит 5мм</t>
  </si>
  <si>
    <t>0003607343</t>
  </si>
  <si>
    <t>Фильтр-элемент УРМ-1000 10 микрон</t>
  </si>
  <si>
    <t>0009103625</t>
  </si>
  <si>
    <t>Фторопласт ф 120 мм</t>
  </si>
  <si>
    <t>0009003996</t>
  </si>
  <si>
    <t>Хомут пластмассовый L=100мм</t>
  </si>
  <si>
    <t>0006943315</t>
  </si>
  <si>
    <t>Хомут пластмассовый L=120мм</t>
  </si>
  <si>
    <t>0003605834</t>
  </si>
  <si>
    <t>Хомут пластмассовый L=200мм</t>
  </si>
  <si>
    <t>0000900020</t>
  </si>
  <si>
    <t>Хомут пластмассовый L=300мм</t>
  </si>
  <si>
    <t>0006943347</t>
  </si>
  <si>
    <t>Хомут пластмассовый L=400мм</t>
  </si>
  <si>
    <t>0006429034</t>
  </si>
  <si>
    <t>Шайба С10</t>
  </si>
  <si>
    <t>0006429041</t>
  </si>
  <si>
    <t>Шайба С10 пружинная</t>
  </si>
  <si>
    <t>0006429035</t>
  </si>
  <si>
    <t>Шайба С12</t>
  </si>
  <si>
    <t>0006429051</t>
  </si>
  <si>
    <t>Шайба С12 пружинная</t>
  </si>
  <si>
    <t>0006429009</t>
  </si>
  <si>
    <t>Шайба С14</t>
  </si>
  <si>
    <t>0009104597</t>
  </si>
  <si>
    <t>Шайба С14 пружинная</t>
  </si>
  <si>
    <t>0006429008</t>
  </si>
  <si>
    <t>Шайба С16</t>
  </si>
  <si>
    <t>0009103657</t>
  </si>
  <si>
    <t>Шайба С16 пружинная</t>
  </si>
  <si>
    <t>0003704483</t>
  </si>
  <si>
    <t>Шайба С20</t>
  </si>
  <si>
    <t>0009104598</t>
  </si>
  <si>
    <t>Шайба С20 пружинная</t>
  </si>
  <si>
    <t>0006429042</t>
  </si>
  <si>
    <t>Шайба С5</t>
  </si>
  <si>
    <t>0009104599</t>
  </si>
  <si>
    <t>Шайба С5 пружинная</t>
  </si>
  <si>
    <t>0006429032</t>
  </si>
  <si>
    <t>Шайба С6</t>
  </si>
  <si>
    <t>0006429039</t>
  </si>
  <si>
    <t>Nзаяв_тпр</t>
  </si>
  <si>
    <t xml:space="preserve">число поданных в соответствии с требованиями нормативных правовых актов заявок на технологическое присоединение к сети, </t>
  </si>
  <si>
    <t>по которым сетевой организацией в соответствующий расчетный период направлен проект договора об осуществлении</t>
  </si>
  <si>
    <t>Лампа галогеновая КГ 500Вт 117 мм</t>
  </si>
  <si>
    <t>0003611863</t>
  </si>
  <si>
    <t>Лампа ДНаТ 400вт Е40</t>
  </si>
  <si>
    <t>0003611859</t>
  </si>
  <si>
    <t>Лампа ДНаТ-1000 Е40</t>
  </si>
  <si>
    <t>0009104538</t>
  </si>
  <si>
    <t>Лампа ДРИ-1000 Е-40</t>
  </si>
  <si>
    <t>0003611247</t>
  </si>
  <si>
    <t>Лампа ДРИ-250 Е-40</t>
  </si>
  <si>
    <t>0009104539</t>
  </si>
  <si>
    <t>Лампа ДРИ-400 Е-40</t>
  </si>
  <si>
    <t>0003611717</t>
  </si>
  <si>
    <t>Лампа ДРЛ 250</t>
  </si>
  <si>
    <t>0003611014</t>
  </si>
  <si>
    <t>Лампа ДРЛ 700</t>
  </si>
  <si>
    <t>Лампа ЛД 40</t>
  </si>
  <si>
    <t>0003611230</t>
  </si>
  <si>
    <t>Лампа ЛБ 40</t>
  </si>
  <si>
    <t>0003611015</t>
  </si>
  <si>
    <t>Лампа ЛБ 80</t>
  </si>
  <si>
    <t>0009003753</t>
  </si>
  <si>
    <t>Лампа МО 36х40</t>
  </si>
  <si>
    <t>0003611801</t>
  </si>
  <si>
    <t>Лампа Ц 235 245-10В Е14/25</t>
  </si>
  <si>
    <t>0002305071</t>
  </si>
  <si>
    <t>Лента киперная 20мм</t>
  </si>
  <si>
    <t>0006911083</t>
  </si>
  <si>
    <t>Металлорукав РЗ-ЦХ ф 20мм</t>
  </si>
  <si>
    <t>0009104558</t>
  </si>
  <si>
    <t>Металлорукав РЗ-ЦХ ф 40мм</t>
  </si>
  <si>
    <t>0003605809</t>
  </si>
  <si>
    <t>Наконечник болтовой НБ-2</t>
  </si>
  <si>
    <t>0009003760</t>
  </si>
  <si>
    <t>Наконечник болтовой НБ-3</t>
  </si>
  <si>
    <t>0009103853</t>
  </si>
  <si>
    <t>Наконечник медный лужёный ПМ 2,5-5</t>
  </si>
  <si>
    <t>0009103852</t>
  </si>
  <si>
    <t>Наконечник медный лужёный ПМ 4-5</t>
  </si>
  <si>
    <t>0009104568</t>
  </si>
  <si>
    <t>Наконечник медный лужёный ПМ 70-12</t>
  </si>
  <si>
    <t>0009103734</t>
  </si>
  <si>
    <t>Наконечник НВИ 2,5-5</t>
  </si>
  <si>
    <t>0009104570</t>
  </si>
  <si>
    <t>Нитки капроновые обувные белые ТЕКС-375</t>
  </si>
  <si>
    <t>0009103684</t>
  </si>
  <si>
    <t>Паронит маслобензостойкий 3мм</t>
  </si>
  <si>
    <t>0009103685</t>
  </si>
  <si>
    <t>Паронит маслобензостойкий 5мм</t>
  </si>
  <si>
    <t>0009103739</t>
  </si>
  <si>
    <t>Патрон монтажный Д2</t>
  </si>
  <si>
    <t>0009008110</t>
  </si>
  <si>
    <t>Патрон монтажный Д3</t>
  </si>
  <si>
    <t>0003620189</t>
  </si>
  <si>
    <t>Патрон настенный Е27</t>
  </si>
  <si>
    <t>0003705018</t>
  </si>
  <si>
    <t>Патрон подвесной Е27</t>
  </si>
  <si>
    <t>0001018027</t>
  </si>
  <si>
    <t>Припой оловянно-свинцовый ПОС-40</t>
  </si>
  <si>
    <t>0003704424</t>
  </si>
  <si>
    <t>Припой оловянно-свинцовый ПОС-60</t>
  </si>
  <si>
    <t>Провод ПЩ 4.0</t>
  </si>
  <si>
    <t>Провод ПЩ 6.0</t>
  </si>
  <si>
    <t>0003704469</t>
  </si>
  <si>
    <t>Провод КГ 3х4+1х1,5</t>
  </si>
  <si>
    <t>0003605131</t>
  </si>
  <si>
    <t>Провод ПВ-1 1х1,5</t>
  </si>
  <si>
    <t>0003605757</t>
  </si>
  <si>
    <t>Провод ПВ-1 1х2,5</t>
  </si>
  <si>
    <t>0009103508</t>
  </si>
  <si>
    <t>Провод ПВ-1 1х4</t>
  </si>
  <si>
    <t>акт тех присоед. № 65325 от 22.04.2013 г.</t>
  </si>
  <si>
    <t>ИП Седых Т.А.</t>
  </si>
  <si>
    <t>Вновь строящаяся подстанция 2×630 кВА</t>
  </si>
  <si>
    <t>№ РЭ/РнД/811/14 от 07.10.2014</t>
  </si>
  <si>
    <t>№61-1-14-00180423 от 29.12.2014</t>
  </si>
  <si>
    <t>65081,69 ( 16.01.2015)</t>
  </si>
  <si>
    <t>акт тех присоед. № 137407 от 31.03.2015 г.</t>
  </si>
  <si>
    <t>№71/1 от 27.11.2014</t>
  </si>
  <si>
    <t>ИП Моисеенко М.В.</t>
  </si>
  <si>
    <t>ТП-16 по ул. Менжинского, 4Е</t>
  </si>
  <si>
    <t>№ РЭ/РнД/320/15 от 25.06.2015</t>
  </si>
  <si>
    <t>№61-1-15-00215249 от 21.01.2016</t>
  </si>
  <si>
    <t>акт тех присоед. № 187285 от 02.03.2016 г.</t>
  </si>
  <si>
    <t>№57/1 от 27.10.2015</t>
  </si>
  <si>
    <t>Киноконцертный комплекс "Юбилейный"</t>
  </si>
  <si>
    <t>№ РЭ/РнД/721/15 от 08.12.2015</t>
  </si>
  <si>
    <t>№79/17 от 24.12.2015</t>
  </si>
  <si>
    <t>.2018</t>
  </si>
  <si>
    <t>ООО "Восток-Фарм"</t>
  </si>
  <si>
    <t>ТП-55</t>
  </si>
  <si>
    <t>№ РЭ/РнД/724/15 от 09.12.2015</t>
  </si>
  <si>
    <t>ПАО "Роствертол"</t>
  </si>
  <si>
    <t xml:space="preserve">№5 </t>
  </si>
  <si>
    <t>№ РЭ/РнД/286/16 от 17.05.2016</t>
  </si>
  <si>
    <t>49721,08 (25.11.2016)</t>
  </si>
  <si>
    <t>акт тех присоед. № 2338555 от 13.02.2017 г.</t>
  </si>
  <si>
    <t>№68/1 от 8.12.2016</t>
  </si>
  <si>
    <t>подать в тариф 2018</t>
  </si>
  <si>
    <t>ООО СК "ДОННЕФТЕСТРОЙ"</t>
  </si>
  <si>
    <t xml:space="preserve">№ 80/22 29.12.2016 г. </t>
  </si>
  <si>
    <t>.2019</t>
  </si>
  <si>
    <t>МВт</t>
  </si>
  <si>
    <t>№ 07-19</t>
  </si>
  <si>
    <t>№3589/10 от 24.12.2010</t>
  </si>
  <si>
    <t>№121893/25/11/960/2509-1-1-1823 от 23.05.2011(федоров)</t>
  </si>
  <si>
    <t>№ 821/97 08.02.2012 г.</t>
  </si>
  <si>
    <t>№27/5649</t>
  </si>
  <si>
    <t>Соловьев Н.В. Жил дом пер. 3-й Кристальный 5</t>
  </si>
  <si>
    <t>№2577/10 от 17.09.2010</t>
  </si>
  <si>
    <t>№ 1755</t>
  </si>
  <si>
    <t>РЭ/ФО-Рнд/450/13 от 05.06.2013г.</t>
  </si>
  <si>
    <t>№32300-13-00134663-4 от 22.05.14 (протокол от 22.05.14)</t>
  </si>
  <si>
    <t>63092,37 ( 18.03.2015)</t>
  </si>
  <si>
    <t>№114503 от 25.07.2014, акт ТУ №000279269 от 25.07.2014</t>
  </si>
  <si>
    <t>№17/4 от 29.04.2014</t>
  </si>
  <si>
    <t>МКП "Ростгорсвет":</t>
  </si>
  <si>
    <t>МКП "Ростгорсвет" (РП-46)</t>
  </si>
  <si>
    <t>Объект по ул. Ректорская, 36</t>
  </si>
  <si>
    <t>№ РЭ/ФО-РнД/259/13 от 18.04.2013</t>
  </si>
  <si>
    <t>№32300-13-00134769-1 от 22.10.2013</t>
  </si>
  <si>
    <t>63092,37 (21.04.2015)</t>
  </si>
  <si>
    <t>№146533 от 22.06.2015</t>
  </si>
  <si>
    <t>34/1 от 12.09.2013</t>
  </si>
  <si>
    <t>Объект по ул. 3-я Семейная, 4</t>
  </si>
  <si>
    <t>№ РЭ/ФО-РнД/665/13 от 01.08.2013</t>
  </si>
  <si>
    <t>№32300-13-00135393-1 от 15.01.14 (протокол от 22.05.14)</t>
  </si>
  <si>
    <t>№114509 от 28.07.2014, акт ТУ №000291645 от 28.07.2014</t>
  </si>
  <si>
    <t>Объект по ул. Ректорская, 34</t>
  </si>
  <si>
    <t>Объекты, присоединяемые к сетям ОАО "Коммунальщик Дона" ул. Вятская, 69</t>
  </si>
  <si>
    <t>№ РЭ/ФО-РнД/431/13 от 29.05.2013</t>
  </si>
  <si>
    <t>№32300-13-00137769-4 от 22.10.13 (ДС от 22.05.14)</t>
  </si>
  <si>
    <t>№112399 от 25.07.2014, акт ТУ №000276859 от 25.07.2014</t>
  </si>
  <si>
    <t>ИП Иванов М.В.</t>
  </si>
  <si>
    <t>не требуется</t>
  </si>
  <si>
    <t>№ 13/6 от 30.09.2010</t>
  </si>
  <si>
    <t>ООО "Пластиндустрия"</t>
  </si>
  <si>
    <t>№ 18</t>
  </si>
  <si>
    <t>№ 379/11 от 15.02.2011</t>
  </si>
  <si>
    <t>№119852/25/11/960/2509-1-1-1552-123/11 от 27.04.2011 г.</t>
  </si>
  <si>
    <t>оплачено 31.05.2011 г.</t>
  </si>
  <si>
    <t>№ б/н от 25.10.2011 / №821/12 от 25.10.2011</t>
  </si>
  <si>
    <t>ОАО "Вымпелком"</t>
  </si>
  <si>
    <t>Здание центра коммуникации, ул. Вятская, 75/1</t>
  </si>
  <si>
    <t>№ 3627/11 от 17.11.2011</t>
  </si>
  <si>
    <t>154562/25/12-176/12 от 03.07.12</t>
  </si>
  <si>
    <t>оплачено 66272,08 (16.11.12)</t>
  </si>
  <si>
    <t>акт тех присоед. № 59859 от 16.01.2013</t>
  </si>
  <si>
    <t>№ 21/4 от 29.06.2012</t>
  </si>
  <si>
    <t>Промзона-2</t>
  </si>
  <si>
    <t>Шайба С6 пружинная</t>
  </si>
  <si>
    <t>0006429033</t>
  </si>
  <si>
    <t>Шайба С8</t>
  </si>
  <si>
    <t>0006429040</t>
  </si>
  <si>
    <t>Шайба С8 пружинная</t>
  </si>
  <si>
    <t>Клипса полипропиленовая д/гофротрубы ф16</t>
  </si>
  <si>
    <t>Клипса полипропиленовая д/гофротрубы ф20</t>
  </si>
  <si>
    <t>Клипса полипропиленовая д/гофротрубы ф32</t>
  </si>
  <si>
    <t>0006503016</t>
  </si>
  <si>
    <t>Электроды АНО-21 ф 3</t>
  </si>
  <si>
    <t>0006503015</t>
  </si>
  <si>
    <t>Электроды АНО-21 ф 4</t>
  </si>
  <si>
    <t>0002901027</t>
  </si>
  <si>
    <t>Электрокартон ЭВ-1</t>
  </si>
  <si>
    <t>0003704773</t>
  </si>
  <si>
    <t>Элемент питания  LR 14 1,5V</t>
  </si>
  <si>
    <t>0003704776</t>
  </si>
  <si>
    <t>Элемент питания AA 1,5V</t>
  </si>
  <si>
    <t>0003704780</t>
  </si>
  <si>
    <t>Элемент питания AAA 1,5V</t>
  </si>
  <si>
    <t>0003704777</t>
  </si>
  <si>
    <t>Элемент питания LR20 1,5V</t>
  </si>
  <si>
    <t>0003704779</t>
  </si>
  <si>
    <t>Элемент питания S3R12 4,5V</t>
  </si>
  <si>
    <t>Аккумулятор DJW12-0,8 (12V, 0,8А/ч)</t>
  </si>
  <si>
    <t>Аккумулятор SK12012 (12V; 1,2 Ah; 20HR)</t>
  </si>
  <si>
    <t>0006901885</t>
  </si>
  <si>
    <t>Элемент питания крона 6LR61</t>
  </si>
  <si>
    <t>12.1.124</t>
  </si>
  <si>
    <t>0003411400</t>
  </si>
  <si>
    <t>Дихлорэтан  1,2</t>
  </si>
  <si>
    <t>0009103447</t>
  </si>
  <si>
    <t>Кислота ортофосфорная</t>
  </si>
  <si>
    <t>0003403061</t>
  </si>
  <si>
    <t>Кислота серная аккумуляторная</t>
  </si>
  <si>
    <t>0003406212</t>
  </si>
  <si>
    <t>Сода пищевая</t>
  </si>
  <si>
    <t>12.1.129</t>
  </si>
  <si>
    <t>0005703827</t>
  </si>
  <si>
    <t>Ареометр автомобильный с резиновой грушей</t>
  </si>
  <si>
    <t>0003629067</t>
  </si>
  <si>
    <t>Ареометр АОН-3 1000-1400</t>
  </si>
  <si>
    <t>0003629094</t>
  </si>
  <si>
    <t>Ареометр АОН-4 1000-1500</t>
  </si>
  <si>
    <t>0003704668</t>
  </si>
  <si>
    <t>Диск колесный ГАЗ-3307</t>
  </si>
  <si>
    <t>0009104462</t>
  </si>
  <si>
    <t>Диск колесный ГАЗ-6611</t>
  </si>
  <si>
    <t>0003704669</t>
  </si>
  <si>
    <t>Камера резиновая для покрышки ГАЗ-3307</t>
  </si>
  <si>
    <t>0003704670</t>
  </si>
  <si>
    <t>Камера резиновая для покрышки ГАЗ-66</t>
  </si>
  <si>
    <t>0009103470</t>
  </si>
  <si>
    <t>Мешалка стекляная 350 мм</t>
  </si>
  <si>
    <t>0009103626</t>
  </si>
  <si>
    <t>года 2012</t>
  </si>
  <si>
    <t>года 2013</t>
  </si>
  <si>
    <t>года 2014</t>
  </si>
  <si>
    <t>С/П*</t>
  </si>
  <si>
    <t>МВА</t>
  </si>
  <si>
    <t>км</t>
  </si>
  <si>
    <t>млн. рублей</t>
  </si>
  <si>
    <t>ВСЕГО,</t>
  </si>
  <si>
    <t>- </t>
  </si>
  <si>
    <t>Техническое перевооружение и реконструкция</t>
  </si>
  <si>
    <t>1.1.</t>
  </si>
  <si>
    <t>Энергосбережение и повышение энергетической эффективности</t>
  </si>
  <si>
    <t>Реконструкция ОРУ-110 ПС 110/6 кВ</t>
  </si>
  <si>
    <t>С</t>
  </si>
  <si>
    <t>декабрь</t>
  </si>
  <si>
    <t>Набор фрез отрезных 40-150 мм</t>
  </si>
  <si>
    <t>0009104566</t>
  </si>
  <si>
    <t>Набор фрез торцевых 100-160 мм</t>
  </si>
  <si>
    <t>0009104567</t>
  </si>
  <si>
    <t>Набор цанг к фрезерному станку 6-30 мм</t>
  </si>
  <si>
    <t>0000913015</t>
  </si>
  <si>
    <t>Напильник квадратный 150 №3</t>
  </si>
  <si>
    <t>0009103538</t>
  </si>
  <si>
    <t>Напильник квадратный 200 №1</t>
  </si>
  <si>
    <t>0000913056</t>
  </si>
  <si>
    <t>Напильник квадратный 250 №2</t>
  </si>
  <si>
    <t>0000913079</t>
  </si>
  <si>
    <t>Напильник квадратный 250 №3</t>
  </si>
  <si>
    <t>0000913006</t>
  </si>
  <si>
    <t>Напильник квадратный 300 №1</t>
  </si>
  <si>
    <t>0000913007</t>
  </si>
  <si>
    <t>Напильник квадратный 300 №2</t>
  </si>
  <si>
    <t>0000913072</t>
  </si>
  <si>
    <t>Напильник квадратный 350 № 1</t>
  </si>
  <si>
    <t>0000913100</t>
  </si>
  <si>
    <t>Напильник квадратный 350 №3</t>
  </si>
  <si>
    <t>0000913098</t>
  </si>
  <si>
    <t>Напильник квадратный 400 №3</t>
  </si>
  <si>
    <t>0009103537</t>
  </si>
  <si>
    <t>Напильник круглый 200 №1</t>
  </si>
  <si>
    <t>0000913004</t>
  </si>
  <si>
    <t>Напильник круглый 250 №1</t>
  </si>
  <si>
    <t>0000913005</t>
  </si>
  <si>
    <t>Напильник круглый 250 №2</t>
  </si>
  <si>
    <t>0000913112</t>
  </si>
  <si>
    <t>Напильник круглый 250 №3</t>
  </si>
  <si>
    <t>0000913057</t>
  </si>
  <si>
    <t>Напильник круглый 300 №2</t>
  </si>
  <si>
    <t>0000913017</t>
  </si>
  <si>
    <t>Напильник плоский 200 №2</t>
  </si>
  <si>
    <t>0000913003</t>
  </si>
  <si>
    <t>Напильник плоский 200 №3</t>
  </si>
  <si>
    <t>0000913063</t>
  </si>
  <si>
    <t>Напильник плоский 250 №2</t>
  </si>
  <si>
    <t>0000913124</t>
  </si>
  <si>
    <t>Напильник плоский 250 №3</t>
  </si>
  <si>
    <t>0000913009</t>
  </si>
  <si>
    <t>Напильник плоский 300 №2</t>
  </si>
  <si>
    <t>0000913131</t>
  </si>
  <si>
    <t>Напильник плоский 350 №2</t>
  </si>
  <si>
    <t>0000913096</t>
  </si>
  <si>
    <t>Напильник плоский 350 №3</t>
  </si>
  <si>
    <t>0000913177</t>
  </si>
  <si>
    <t>Напильник плоский 400 №2</t>
  </si>
  <si>
    <t>0000913178</t>
  </si>
  <si>
    <t>Напильник плоский 400 №3</t>
  </si>
  <si>
    <t>0009103452</t>
  </si>
  <si>
    <t>Набор плашек 1,2G-2G</t>
  </si>
  <si>
    <t>0009104563</t>
  </si>
  <si>
    <t>Набор плашек М3-М20</t>
  </si>
  <si>
    <t>0009102290</t>
  </si>
  <si>
    <t>Ножницы кабельные НС-2</t>
  </si>
  <si>
    <t>0009102088</t>
  </si>
  <si>
    <t>Ножницы кабельные НС-3</t>
  </si>
  <si>
    <t>0009102010</t>
  </si>
  <si>
    <t>Ножницы по металлу 250мм СМИ</t>
  </si>
  <si>
    <t>0009102114</t>
  </si>
  <si>
    <t>Ножницы по металлу 320мм</t>
  </si>
  <si>
    <t>0009103643</t>
  </si>
  <si>
    <t>Ножницы секторные НУСК-1</t>
  </si>
  <si>
    <t>0009102092</t>
  </si>
  <si>
    <t>Ножовка по металлу</t>
  </si>
  <si>
    <t>0009102117</t>
  </si>
  <si>
    <t>Отвертка крестовая №1 150мм</t>
  </si>
  <si>
    <t>0009102050</t>
  </si>
  <si>
    <t>Отвертка крестовая №1 155мм</t>
  </si>
  <si>
    <t>0009102281</t>
  </si>
  <si>
    <t>Отвертка крестовая №1 180мм</t>
  </si>
  <si>
    <t>0009102085</t>
  </si>
  <si>
    <t>Отвертка крестовая №1 190мм</t>
  </si>
  <si>
    <t>0009103539</t>
  </si>
  <si>
    <t>Отвертка крестовая №2 170мм</t>
  </si>
  <si>
    <t>0009102282</t>
  </si>
  <si>
    <t>Отвертка крестовая №2 180мм</t>
  </si>
  <si>
    <t>0009102234</t>
  </si>
  <si>
    <t>Отвертка крестовая №2 190мм</t>
  </si>
  <si>
    <t>0009102098</t>
  </si>
  <si>
    <t>Отвертка крестовая №2 200мм</t>
  </si>
  <si>
    <t>0009102040</t>
  </si>
  <si>
    <t>Отвертка крестовая №2 220мм</t>
  </si>
  <si>
    <t>0009102041</t>
  </si>
  <si>
    <t>Отвертка крестовая №2 240мм</t>
  </si>
  <si>
    <t>0009102037</t>
  </si>
  <si>
    <t>Отвертка крестовая №2 250мм</t>
  </si>
  <si>
    <t>0009102045</t>
  </si>
  <si>
    <t>Отвертка крестовая №3 150мм</t>
  </si>
  <si>
    <t>0009102296</t>
  </si>
  <si>
    <t>Отвертка крестовая №3 180мм</t>
  </si>
  <si>
    <t>0009102046</t>
  </si>
  <si>
    <t>Отвертка крестовая №3 250мм</t>
  </si>
  <si>
    <t>0009102255</t>
  </si>
  <si>
    <t>Отвертка крестовая №4 310мм</t>
  </si>
  <si>
    <t>0009102264</t>
  </si>
  <si>
    <t>Отвертка шлицевая 150х8</t>
  </si>
  <si>
    <t>0009102011</t>
  </si>
  <si>
    <t>Отвертка шлицевая 160х10</t>
  </si>
  <si>
    <t>0009102096</t>
  </si>
  <si>
    <t>Отвертка шлицевая 180х5</t>
  </si>
  <si>
    <t>0009102335</t>
  </si>
  <si>
    <t>Отвертка шлицевая 190х0.8х4.0</t>
  </si>
  <si>
    <t>0009102135</t>
  </si>
  <si>
    <t>Отвертка шлицевая 200х8</t>
  </si>
  <si>
    <t>0009102201</t>
  </si>
  <si>
    <t>Отвертка шлицевая 250х10</t>
  </si>
  <si>
    <t>0009102265</t>
  </si>
  <si>
    <t>Отвертка шлицевая 250х8</t>
  </si>
  <si>
    <t>0009102226</t>
  </si>
  <si>
    <t>Отвертка шлицевая 75х3</t>
  </si>
  <si>
    <t>0009104573</t>
  </si>
  <si>
    <t>Патрон к электродрели 13 мм</t>
  </si>
  <si>
    <t>0009102134</t>
  </si>
  <si>
    <t>Паяльник 220В 100Вт</t>
  </si>
  <si>
    <t>0003704722</t>
  </si>
  <si>
    <t>Паяльник 220В 40Вт</t>
  </si>
  <si>
    <t>0003704805</t>
  </si>
  <si>
    <t>Паяльник 36В 40Вт</t>
  </si>
  <si>
    <t>0009104685</t>
  </si>
  <si>
    <t>Паяльник СТ-40А 220В 40Вт</t>
  </si>
  <si>
    <t>Эл. отбойный молоток 2кВт</t>
  </si>
  <si>
    <t>0009102215</t>
  </si>
  <si>
    <t>Перфоратор MAKITA 2кВ</t>
  </si>
  <si>
    <t>0009102004</t>
  </si>
  <si>
    <t>Плоскогубцы 200мм с изолированной рукояткой</t>
  </si>
  <si>
    <t>0003704497</t>
  </si>
  <si>
    <t>Плоскогубцы 320мм с изолированной рукояткой</t>
  </si>
  <si>
    <t>0003620083</t>
  </si>
  <si>
    <t>Полотно ножовочное по металлу</t>
  </si>
  <si>
    <t>0003704683</t>
  </si>
  <si>
    <t>Правовые основы осуществления деятельности по ТП</t>
  </si>
  <si>
    <t>Приказ ФСТ от 11.09.2012 г. № 209-э/1 "Об утверждении методических указаний по определению размера платы за технологическое присоединение к электрическим сетям" (в ред. Приказа ФСТ России от 01.08.2014 № 1198-э)</t>
  </si>
  <si>
    <t>п.п. 11 Ж-1</t>
  </si>
  <si>
    <r>
      <t xml:space="preserve">Инвестиционная программа ООО "Ростсельмашэнерго" на 2015-2019 гг., утвержденная  Постановлением РСТ РО от 12 08 2014 № 43/1 (включая план финансирования, финансовый план, план ввода основных средств),   а также Программа энергосбережения и повышения энергоэффективности ООО "Ростсельмашэнерго" на 2015-2018 гг., утвержденная  26 06 2015 , находятся на официальном сайте ООО "Ростсельмашэнерго" на странице
   </t>
    </r>
    <r>
      <rPr>
        <b/>
        <sz val="12"/>
        <color indexed="30"/>
        <rFont val="Calibri"/>
        <family val="2"/>
        <charset val="204"/>
      </rPr>
      <t xml:space="preserve"> http://www.rsmenergo.ru/raskrytie/ooo-rostselmashenergo </t>
    </r>
    <r>
      <rPr>
        <b/>
        <sz val="11"/>
        <color indexed="8"/>
        <rFont val="Calibri"/>
        <family val="2"/>
        <charset val="204"/>
      </rPr>
      <t xml:space="preserve">
 </t>
    </r>
  </si>
  <si>
    <t xml:space="preserve">
</t>
  </si>
  <si>
    <t>Паспорт инвестиционного объекта (проекта)</t>
  </si>
  <si>
    <t>Наименование инвестиционного проекта</t>
  </si>
  <si>
    <t>Реконструкция ПС 110/6 кВ ГПП-1, ПС 110/6 кВ ГПП-3</t>
  </si>
  <si>
    <t>Идентификатор проекта</t>
  </si>
  <si>
    <t>Е-1, Е-2</t>
  </si>
  <si>
    <t>Цели инвестиционного проекта</t>
  </si>
  <si>
    <t>1. Снизить степень износа основного оборудования ПС 110/6 кВ ГПП-1.
2. Уменьшить ремонтные и эксплутационные затраты.
3. Обеспечить необходимую категорию надежности электроснабжения потребителей и качество электрической энергии.
4. Сократить потери электрической энергии в сети.</t>
  </si>
  <si>
    <t>Задачи инвестиционного проекта</t>
  </si>
  <si>
    <t xml:space="preserve">
программу по энергосбережению и повышению энергетической эффективности (для организаций, которые в соответствии с законодательством об энергосбережении и о повышении энергетической эффективности утверждают и реализовывают программы в области энергосбережения и повышения энергетической эффективности);
заключения (отчеты) по результатам проведения технологического и ценового аудита инвестиционных проектов строительства объектов электроэнергетики в случаях, если получение таких заключений (отчетов) является обязательным;</t>
  </si>
  <si>
    <t xml:space="preserve">
заключение по результатам проведения технологического и ценового аудита инвестиционной программы (проекта инвестиционной программы) (при наличии такового), выполненное в соответствии с методическими рекомендациями, предусмотренными пунктом 5 постановления Правительства Российской Федерации от 16 февраля 2015 г. N 132 "О внесении изменений в некоторые акты Правительства Российской Федерации по вопросам утверждения инвестиционных программ субъектов электроэнергетики и контроля за их реализацией";
информацию о наличии у сетевой организации предусмотренных законодательством Российской Федерации о приватизации инвестиционных обязательств в отношении объектов электросетевого хозяйства, а также об условиях таких обязательств;</t>
  </si>
  <si>
    <t>ж1</t>
  </si>
  <si>
    <t>об отчетах о реализации инвестиционной программы и об обосновывающих их материалах, включая:</t>
  </si>
  <si>
    <t>подлежит публикованию на официальном сайте в сети "Интернет", определяемом Правительством Российской Федерации, ежеквартально, не позднее чем через 45 дней после окончания отчетного квартала, а также ежегодно, до 1 апреля, по результатам исполнения инвестиционной программы за предыдущий календарный год</t>
  </si>
  <si>
    <t>вкладка п.п. 11 Ж-1</t>
  </si>
  <si>
    <t>отчет о реализации инвестиционной программы, сформированный с распределением по перечням инвестиционных проектов, с указанием фактических:
введенной (выведенной) мощности и (или) других характеристик объектов инвестиционной деятельности, предусмотренных соответствующими инвестиционными проектами, а также дат ввода (вывода) указанных объектов;</t>
  </si>
  <si>
    <t xml:space="preserve">
объемов финансирования и освоения капитальных вложений, а также источников финансирования инвестиционных проектов инвестиционной программы;
</t>
  </si>
  <si>
    <t>объемов ввода объектов основных средств в натуральном и стоимостном выражении по инвестиционным проектам инвестиционной программы;</t>
  </si>
  <si>
    <t>0001302087</t>
  </si>
  <si>
    <t>Ножницы</t>
  </si>
  <si>
    <t>0009104364</t>
  </si>
  <si>
    <t>Папка архивная</t>
  </si>
  <si>
    <t>0001302073</t>
  </si>
  <si>
    <t>Папка конверт на кнопке</t>
  </si>
  <si>
    <t>0002901139</t>
  </si>
  <si>
    <t>Папка на 2-х кольцах А4</t>
  </si>
  <si>
    <t>0001302090</t>
  </si>
  <si>
    <t>Папка на завязках А4</t>
  </si>
  <si>
    <t>0002901086</t>
  </si>
  <si>
    <t>Папка с зажимом А4</t>
  </si>
  <si>
    <r>
      <t>2016 г.</t>
    </r>
    <r>
      <rPr>
        <sz val="10"/>
        <rFont val="Times New Roman"/>
        <family val="1"/>
        <charset val="204"/>
      </rPr>
      <t xml:space="preserve">
Реконструкция ОРУ-110 кВ  ГПП-1 с заменой масляного выключателя У-110 присоединения ГВ-1 110 кВ на элегазовый ВГП-110, установкой трансформаторов тока ТГФМ-110, модернизацией цепей защиты на базе микропроцессорных устройств.
Перевод главной понизительной подстанции ГПП-3 110/6 кВ в режим распределительного устройтва 6 кВ, с обеспечением питания от ЗРУ-6 кВ ГПП-1 по кабельным линиям связи, реконструкцией схемы силовых и вторичных цепей ячеек вводных и секционных выключателей ГПП-3, ячеек питающих линий на ГПП-1, реконструкцией схемы питания и распределения оперативных цепей ГПП-3, ремонтом строительной части ГПП-3.</t>
    </r>
  </si>
  <si>
    <r>
      <t>2017 г.</t>
    </r>
    <r>
      <rPr>
        <sz val="10"/>
        <rFont val="Times New Roman"/>
        <family val="1"/>
        <charset val="204"/>
      </rPr>
      <t xml:space="preserve">
Замена трансформатора трансформатора №4 типа ТДН-40000/110 ГПП-1 на трансформатор типа ТРДН-40000/110, демонтируемый с ГПП-3, с проведением его капитального ремонта. Реконструкция схемы защит с возможностью подключения трансформатора к 1-ой и 2-ой секции шин 110 кВ; реконструкция силовых и вторичных цепей вводной ячейки 6 кВ трансформатора; реконструкция строительной части ОРУ-110 кВ ГПП-1 (фундамент, порталы).</t>
    </r>
  </si>
  <si>
    <t xml:space="preserve">Форма 8.3 -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t>
  </si>
  <si>
    <t>Наименование электросетевой организации</t>
  </si>
  <si>
    <t>N п/п</t>
  </si>
  <si>
    <t>Наименование составляющей показателя</t>
  </si>
  <si>
    <t>Метод определения</t>
  </si>
  <si>
    <t>Максимальное количество потребителей услуг по передаче электрической энергии (включая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t>
  </si>
  <si>
    <t>В соответствии с заключенными договорами по передаче электроэнергии</t>
  </si>
  <si>
    <t xml:space="preserve">  1. 1. </t>
  </si>
  <si>
    <t>Максимальное количество потребителей электроэнергии, обслуживаемых электросетевой организацией в рамках расчетного периода (включая потребителей электрической энергии, обслуживаемых энергосбытовыми организациями (гарантирующими поставщиками), энергоприним</t>
  </si>
  <si>
    <t>Максимальное за расчетный период регулирования число точек поставки электросетевой организации, шт.</t>
  </si>
  <si>
    <t>Средняя продолжительность нарушения электроснабжения потребителей (</t>
  </si>
  <si>
    <r>
      <t xml:space="preserve">сумма произведений по столбцу 32 и столбцу 28 </t>
    </r>
    <r>
      <rPr>
        <sz val="10"/>
        <color indexed="12"/>
        <rFont val="Arial"/>
        <family val="2"/>
        <charset val="204"/>
      </rPr>
      <t>Формы 8.1</t>
    </r>
    <r>
      <rPr>
        <sz val="10"/>
        <rFont val="Arial"/>
        <family val="2"/>
        <charset val="204"/>
      </rPr>
      <t xml:space="preserve">, деленная на значение </t>
    </r>
    <r>
      <rPr>
        <sz val="10"/>
        <color indexed="12"/>
        <rFont val="Arial"/>
        <family val="2"/>
        <charset val="204"/>
      </rPr>
      <t>пункта 1 Формы 8.3</t>
    </r>
  </si>
  <si>
    <t>), час.</t>
  </si>
  <si>
    <t>((</t>
  </si>
  <si>
    <t>столбец 32 * столбец 28) / пункт 1 Формы 8.3)</t>
  </si>
  <si>
    <t>Средняя частота прерывания электроснабжения потребителей (</t>
  </si>
  <si>
    <r>
      <t xml:space="preserve">сумма по столбцу 28 </t>
    </r>
    <r>
      <rPr>
        <sz val="10"/>
        <color indexed="12"/>
        <rFont val="Arial"/>
        <family val="2"/>
        <charset val="204"/>
      </rPr>
      <t>Формы 8.1</t>
    </r>
    <r>
      <rPr>
        <sz val="10"/>
        <rFont val="Arial"/>
        <family val="2"/>
        <charset val="204"/>
      </rPr>
      <t xml:space="preserve"> и деленная на значение </t>
    </r>
    <r>
      <rPr>
        <sz val="10"/>
        <color indexed="12"/>
        <rFont val="Arial"/>
        <family val="2"/>
        <charset val="204"/>
      </rPr>
      <t>пункта 1 Формы 8.3</t>
    </r>
  </si>
  <si>
    <t>), шт.</t>
  </si>
  <si>
    <t>(</t>
  </si>
  <si>
    <t>столбец 28 Формы 8.1 / пункт 1 Формы 8.3)</t>
  </si>
  <si>
    <t>Расчета обобщенного показателя уровня надежности и качества оказываемых услуг (для долгосрочных периодов регулирования, начавшихся до 2014 года)</t>
  </si>
  <si>
    <t>Значение обобщенного показателя уровня надежности и качества оказываемых услуг :</t>
  </si>
  <si>
    <t>α =</t>
  </si>
  <si>
    <t>коэффициент значимости показателей надежности и качества оказываемых услуг</t>
  </si>
  <si>
    <t>β =</t>
  </si>
  <si>
    <r>
      <rPr>
        <sz val="10"/>
        <rFont val="Calibri"/>
        <family val="2"/>
        <charset val="204"/>
      </rPr>
      <t>α</t>
    </r>
    <r>
      <rPr>
        <sz val="10"/>
        <rFont val="Arial"/>
        <family val="2"/>
        <charset val="204"/>
      </rPr>
      <t xml:space="preserve"> - 1</t>
    </r>
  </si>
  <si>
    <t>Если плановое значение  Пп  достигнуто, то   Кнад= 0; не достигнуто -   Кнад= -1; достигнуто со значительным улучшением -   Кнад= 1</t>
  </si>
  <si>
    <t>Если плановое значение  Пптр достигнуто, то Ккач  = 0; не достигнуто -   Ккач= -1; достигнуто со значительным улучшением -  Ккач = 1.</t>
  </si>
  <si>
    <t xml:space="preserve">Форма 7.1 - Показатели уровня надежности и уровня качества оказываемых услуг электросетевой организации (для случаев установления плановые значения до 2013 года)
</t>
  </si>
  <si>
    <t>N формулы методических указаний</t>
  </si>
  <si>
    <t>достигнуто:</t>
  </si>
  <si>
    <t>Показатель уровня качества оказываемых услуг организации по управлению национальной (общероссийской) электрической сетью, Птпр</t>
  </si>
  <si>
    <t>--------------</t>
  </si>
  <si>
    <t>Измерение крена дымовой трубы № 2 ТЭЦ</t>
  </si>
  <si>
    <t xml:space="preserve">Изменение №1. </t>
  </si>
  <si>
    <t xml:space="preserve"> Дополнения к плану</t>
  </si>
  <si>
    <t xml:space="preserve"> закупки товаров (работ, услуг) </t>
  </si>
  <si>
    <t>г. Ростов-на-Дону, Менжинского 2С</t>
  </si>
  <si>
    <t>8 (863) 255-23-46</t>
  </si>
  <si>
    <t>571028@oaorsm.ru</t>
  </si>
  <si>
    <t>6166047727</t>
  </si>
  <si>
    <t>616601001</t>
  </si>
  <si>
    <t>60401378000</t>
  </si>
  <si>
    <t>Концентрат миниральный  "Галит", МКР-1, помол №3</t>
  </si>
  <si>
    <t>Товар должен быть новый,обеспечен сертификатами..</t>
  </si>
  <si>
    <t>т.</t>
  </si>
  <si>
    <t>09</t>
  </si>
  <si>
    <t>Смола ионообменная КУ-2-8 Na+</t>
  </si>
  <si>
    <t>05</t>
  </si>
  <si>
    <t xml:space="preserve">Уплотнения воздушные на компрессор К-250                  Уплотнение воздушное черт. №395.08.01                      1шт
 Уплотнение воздушное черт. №395.08.02   4шт
 Уплотнение воздушное черт. №395.08.03   1шт
 Уплотнение воздушное черт. №395.08.04   1шт
 Уплотнение воздушное черт. №395.08.05   1шт
 Уплотнение воздушное черт. №395.08.06   1шт
 Уплотнение воздушное черт. №395.08.07   2шт
 Уплотнение воздушное черт. №395.08.08   1шт
 Уплотнение воздушное черт. №395.08.09   1шт                       
 Уплотнение воздушное черт. №395.08.10   1шт
</t>
  </si>
  <si>
    <t xml:space="preserve">Уплотнения воздушные на компрессор К-500                               
 Уплотнение воздушное 1317.08. СБ2    4шт
 Уплотнение воздушное 1317.08. СБ3     2шт
 Уплотнение воздушное 1317.08. СБ4    1шт
</t>
  </si>
  <si>
    <t>06</t>
  </si>
  <si>
    <t>Масло трансформаторное ТКП</t>
  </si>
  <si>
    <t>Сепаратор центробежный СОГ-913КТ1ВЗ</t>
  </si>
  <si>
    <t>Капитальный ремонт без смены обмоток силового трансформатора ТМЗ-1000/10 трансформаторной подстанции 6/0,4кВ ТП-123</t>
  </si>
  <si>
    <t>07</t>
  </si>
  <si>
    <t>Капитальный ремонт без смены обмоток силового трансформатора ТМЗ-1000/10 трансформаторной подстанции 6/0,4кВ ТП-19</t>
  </si>
  <si>
    <t>Произвести  диагностирование тр-ра ТРДЦН 63000/110 1Т ГПП-1.</t>
  </si>
  <si>
    <t>Восстановление антикоррозийного покрытия металлоконструкций опор ВЛ-110 кВ "Глубокого ввода" 1,2  №№ 1,,3,4,5,6,7,7а,8  ГПП-1</t>
  </si>
  <si>
    <t>Восстановление антикоррозийного покрытия металлоконструкций осветительных мачт №№ 1,2,3,4,5  и ремонт  осветительных мачт №№3,4 ГПП-1</t>
  </si>
  <si>
    <t>Ремонт мужской душевой и раздевалки ТСЦ</t>
  </si>
  <si>
    <t>08</t>
  </si>
  <si>
    <t>Замена плит нефтеловушки</t>
  </si>
  <si>
    <t>Замена воды ПК от ПГ - 125 до ПГ - 122</t>
  </si>
  <si>
    <t>Замена воды ПК от К-265Б до К 77 Б</t>
  </si>
  <si>
    <t>Замена кровли отстойников и резервуаров БООС</t>
  </si>
  <si>
    <t>Замена кабельных линий 7А 13 А; 7Б 13Б</t>
  </si>
  <si>
    <t>Замена трубопроводов фильтрованной  Ф 273-325 с заменой задвижек на ХВО</t>
  </si>
  <si>
    <t>* С -  строительство,  П - проектирование</t>
  </si>
  <si>
    <t xml:space="preserve">  </t>
  </si>
  <si>
    <t>** Согласно проектной документации в текущих ценах (с НДС)</t>
  </si>
  <si>
    <t>*** В прогнозных ценах соответствующего года</t>
  </si>
  <si>
    <t>Источники финансирования инвестиционной программы</t>
  </si>
  <si>
    <t>млн. руб. без НДС</t>
  </si>
  <si>
    <t xml:space="preserve">Наименование </t>
  </si>
  <si>
    <t xml:space="preserve">2012 год </t>
  </si>
  <si>
    <t>2013 год</t>
  </si>
  <si>
    <t xml:space="preserve"> 2014 год</t>
  </si>
  <si>
    <t xml:space="preserve"> Всего на</t>
  </si>
  <si>
    <t xml:space="preserve"> 2012-2014 годы </t>
  </si>
  <si>
    <t>Тариф на услуги по передаче электрической энергии,</t>
  </si>
  <si>
    <t>3, 482</t>
  </si>
  <si>
    <t>в том числе</t>
  </si>
  <si>
    <t>Амортизация, учтенная в тарифе</t>
  </si>
  <si>
    <t>Прибыль</t>
  </si>
  <si>
    <t>Заемные средства</t>
  </si>
  <si>
    <t xml:space="preserve">Иные источники </t>
  </si>
  <si>
    <t>Технологическое присоединение</t>
  </si>
  <si>
    <t>ВСЕГО ИСТОЧНИКОВ ФИНАНСИРОВАНИЯ</t>
  </si>
  <si>
    <t>3, 482</t>
  </si>
  <si>
    <t>6, 748</t>
  </si>
  <si>
    <t>Показатели энергоэффективности</t>
  </si>
  <si>
    <t>Значение показателей энергоэффективности:</t>
  </si>
  <si>
    <t xml:space="preserve">На 2012 год </t>
  </si>
  <si>
    <t xml:space="preserve">На 2013 год </t>
  </si>
  <si>
    <t xml:space="preserve">На 2014 год </t>
  </si>
  <si>
    <t>Доля расхода электрической энергии на собственные нужды</t>
  </si>
  <si>
    <t>Доля расхода (потерь) электрической энергии при ее передаче в сетях предприятия</t>
  </si>
  <si>
    <t>% к отпуску в сеть</t>
  </si>
  <si>
    <t>Ввод/выбытие электрической мощности</t>
  </si>
  <si>
    <t>Присоединенная мощность предприятия</t>
  </si>
  <si>
    <t>Присоединенная мощность потребителей</t>
  </si>
  <si>
    <t xml:space="preserve"> </t>
  </si>
  <si>
    <t>План ввода основных средств</t>
  </si>
  <si>
    <t>Наименование</t>
  </si>
  <si>
    <t>Первоначальная стоимость вводимых основных</t>
  </si>
  <si>
    <t>Ввод основных средств сетевых организаций (с НДС)</t>
  </si>
  <si>
    <t xml:space="preserve">  проекта</t>
  </si>
  <si>
    <t>средств (без</t>
  </si>
  <si>
    <t>План 2012 года</t>
  </si>
  <si>
    <t>План 2013 года</t>
  </si>
  <si>
    <t>План 2014 года</t>
  </si>
  <si>
    <t xml:space="preserve">НДС) </t>
  </si>
  <si>
    <t xml:space="preserve">I  </t>
  </si>
  <si>
    <t>II</t>
  </si>
  <si>
    <t>III</t>
  </si>
  <si>
    <t>IV</t>
  </si>
  <si>
    <t>кв.</t>
  </si>
  <si>
    <t>млн. руб.</t>
  </si>
  <si>
    <t>МВА/км./шт.</t>
  </si>
  <si>
    <t>ВСЕГО</t>
  </si>
  <si>
    <t>1.1</t>
  </si>
  <si>
    <t>1.1.1</t>
  </si>
  <si>
    <t>п.п. 11 Ж</t>
  </si>
  <si>
    <t>Наименование организации</t>
  </si>
  <si>
    <t>ИНН</t>
  </si>
  <si>
    <t>Мониторинг инвестиционных программ в региональной электроэнергетике</t>
  </si>
  <si>
    <t>Сроки выполнения работ</t>
  </si>
  <si>
    <t>Проектная стоимость</t>
  </si>
  <si>
    <t>2010 (план)</t>
  </si>
  <si>
    <t>2010 (факт)</t>
  </si>
  <si>
    <t>Источники финансирования</t>
  </si>
  <si>
    <t>1 кв.  (план)</t>
  </si>
  <si>
    <t>1 кв. (факт)</t>
  </si>
  <si>
    <t>2 кв. (план)</t>
  </si>
  <si>
    <t>2 кв. (факт)</t>
  </si>
  <si>
    <t>3 кв. (план)</t>
  </si>
  <si>
    <t>3 кв. (факт)</t>
  </si>
  <si>
    <t>4 кв. (план)</t>
  </si>
  <si>
    <t>4 кв. (факт)</t>
  </si>
  <si>
    <t>Амортизация (план)</t>
  </si>
  <si>
    <t>Амортизация (факт)</t>
  </si>
  <si>
    <t>Прибыль (план)</t>
  </si>
  <si>
    <t>Прибыль (факт)</t>
  </si>
  <si>
    <t>ИТОГО сальдированный переток электроэнергии:</t>
  </si>
  <si>
    <t>в том числе:</t>
  </si>
  <si>
    <t>Филиал ОАО "МРСК Юга"-"Ростовэнерго"</t>
  </si>
  <si>
    <t>электроэнергия</t>
  </si>
  <si>
    <t>ВН</t>
  </si>
  <si>
    <t>Прием</t>
  </si>
  <si>
    <t>Отдача</t>
  </si>
  <si>
    <t>ОАО "Коммунальщик Дона"</t>
  </si>
  <si>
    <t>ОАО "Донэнерго"</t>
  </si>
  <si>
    <t>Справочно:</t>
  </si>
  <si>
    <t>Собственное потребление</t>
  </si>
  <si>
    <t>Потери в сети</t>
  </si>
  <si>
    <t>Передача потребителям ОАО "Энергосбыт Ростовэнерго"</t>
  </si>
  <si>
    <t>Передача потребителям ООО "Ростсельмашэнергосбыт"</t>
  </si>
  <si>
    <t>2. Мощность</t>
  </si>
  <si>
    <t>В том числе по кварталам и месяцам,  МВт</t>
  </si>
  <si>
    <t>Максимальная мощность                         Исполнителя,                           МВт.</t>
  </si>
  <si>
    <t>Присоединенная мощность                         Исполнителя,                           МВА.</t>
  </si>
  <si>
    <t>Итого заявленная мощность:</t>
  </si>
  <si>
    <t>заявленная мощность</t>
  </si>
  <si>
    <t>Филиал ОАО "МРСК Юга"-"Ростовэнерго" (отдача)</t>
  </si>
  <si>
    <t>ОАО "Коммунальщик Дона" (отдача)</t>
  </si>
  <si>
    <t>ОАО "Донэнерго" (отдача)</t>
  </si>
  <si>
    <t>г.Белая Калитва</t>
  </si>
  <si>
    <t xml:space="preserve">В том числе по кварталам и месяцам       МВтч </t>
  </si>
  <si>
    <t>Договорные объемы услуг по передаче электрической энергии (мощности) на 2013 год</t>
  </si>
  <si>
    <t>г) 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</si>
  <si>
    <t>07.08.2013 г.</t>
  </si>
  <si>
    <t>09.09.2013 г.</t>
  </si>
  <si>
    <t>12.09.2013 г.</t>
  </si>
  <si>
    <t>Информация о выводе в ремонт и вводе в эксплуатацию объектов электросетевого хозяйства, участвующих в передаче электроэнергии (мощности) в 2014 г.</t>
  </si>
  <si>
    <t>Присоединение Р-4/2 и II секция ОРУ-110 кВ ГПП-1</t>
  </si>
  <si>
    <t>25.06.2014 г.</t>
  </si>
  <si>
    <t>30.06.2014 г.</t>
  </si>
  <si>
    <t>08.07.2014 г.</t>
  </si>
  <si>
    <t>10.07.2014 г.</t>
  </si>
  <si>
    <t>16.07.2014 г.</t>
  </si>
  <si>
    <t>перечни инвестиционных проектов на период реализации инвестиционной программы (проекта инвестиционной программы), реализуемых с использованием инвестиционных ресурсов, включаемых в регулируемые государством цены (тарифы), и инвестиционных проектов, реализуемых без использования указанных инвестиционных ресурсов, с указанием идентификаторов инвестиционных проектов, одной или нескольких целей реализации инвестиционных проектов (развитие электрической сети, усиление электрической сети, связанное с подключением новых потребителей, замещение (обновление) электрической сети, повышение надежности оказываемых услуг в сфере электроэнергетики, повышение качества оказываемых услуг в сфере электроэнергетики, выполнение требований законодательства Российской Федерации, предписаний органов исполнительной власти, регламентов рынков электрической энергии, повышение экономической эффективности (мероприятия, направленные на снижение эксплуатационных затрат) оказания услуг в сфере электроэнергетики, 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 инвестиции, связанные с деятельностью, не относящейся к сфере электроэнергетики) и плановых значений количественных показателей инвестиционной программы (проекта инвестиционной программы), указанных для каждого года ее реализации, в том числе показателей, характеризующих достижение указанных целей инвестиционной программы (проекта инвестиционной программы) по отдельным проектам (группам проектов, инвестиционной программе в целом). Под идентификатором инвестиционного проекта понимаются уникальное цифровое, буквенное, символьное обозначение или комбинации таких обозначений, включая коды, предназначенные для однозначного определения (идентификации) инвестиционного проекта. Идентификатор инвестиционного проекта определяется субъектом рынков электрической энергии однократно в соответствии с методическими указаниями, утверждаемыми Министерством энергетики Российской Федерации, и не меняется на протяжении всего срока реализации инвестиционного проекта, а также после завершения его реализации. Организация по управлению единой национальной (общероссийской) электрической сетью формирует указанные перечни инвестиционных проектов с распределением на инвестиционные проекты, по результатам выполнения которых обеспечивается соответствие объектов электроэнергетики, на строительство (реконструкцию, модернизацию) которых направлена реализация указанных инвестиционных проектов, критериям отнесения объектов электросетевого хозяйства к единой национальной (общероссийской) электрической сети, утвержденным постановлением Правительства Российской Федерации от 26 января 2006 г. N 41 "О критериях отнесения объектов электросетевого хозяйства к единой национальной (общероссийской) электрической сети", а также иные инвестиционные проекты. Перечень и порядок расчета количественных показателей инвестиционной программы (проекта инвестиционной программы) определяются в соответствии с методическими указаниями, утверждаемыми Министерством энергетики Российской Федерации;</t>
  </si>
  <si>
    <t>Приложение №1 к приказу №_____ от "__"_______20___г.</t>
  </si>
  <si>
    <t>№ пункта</t>
  </si>
  <si>
    <t>Раскрываемая информация</t>
  </si>
  <si>
    <t>Ответственный</t>
  </si>
  <si>
    <t>Сроки и место раскрытия</t>
  </si>
  <si>
    <t>Информация</t>
  </si>
  <si>
    <t>а</t>
  </si>
  <si>
    <t>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</si>
  <si>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Начальник коммерческого отдела</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</si>
  <si>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ежегодно, до 1 марта.</t>
  </si>
  <si>
    <t>вкладка п.п. 11а</t>
  </si>
  <si>
    <t>а(1)</t>
  </si>
  <si>
    <t>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</si>
  <si>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в течение 5 дней со дня поступления в сетевую организацию решения регулирующего органа об установлении тарифов в соответствии с нормативными правовыми актами в области государственного регулирования тарифов.</t>
  </si>
  <si>
    <t>а(2)</t>
  </si>
  <si>
    <t>о прогнозных сведениях о расходах за технологическое присоединение на очередной календарный год - для территориальных сетевых организаций;</t>
  </si>
  <si>
    <t>подлежит опубликованию на официальном сайте территориальной сетевой организации или на ином официальном сайте в сети Интернет, определяемом Правительством Российской Федерации, и (или) в периодическом печатном издании, в котором публикуются нормативные правовые акты органа исполнительной власти субъекта Российской Федерации в области регулирования тарифов, - за 10 дней до представления в регулирующий орган прогнозных сведений о расходах за технологическое присоединение на очередной календарный год.</t>
  </si>
  <si>
    <t>вкладка п.п. 11 а (2)</t>
  </si>
  <si>
    <t>б</t>
  </si>
  <si>
    <t>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</si>
  <si>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</si>
  <si>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</si>
  <si>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ежегодно, до 1 марта.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то информация, указанная в абзаце шестнадцатом подпункта "б" пункта 11 настоящего документа, 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в течение 3 дней со дня, с которого максимальная мощность потребителя услуг считается сниженной</t>
  </si>
  <si>
    <t>вкладка п.п. 11 Б-1</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</si>
  <si>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</si>
  <si>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вкладка п.п. 11 Б-2</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</si>
  <si>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</si>
  <si>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вкладка п.п. 11 Б-3</t>
  </si>
  <si>
    <t>о затратах на оплату потерь, в том числе:</t>
  </si>
  <si>
    <t>о затратах сетевой организации на покупку потерь в собственных сетях</t>
  </si>
  <si>
    <t>вкладка п.п. 11 Б-4</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</si>
  <si>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</si>
  <si>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вкладка п.п. 11 Б-5</t>
  </si>
  <si>
    <t>о перечне мероприятий по снижению размеров потерь в сетях, а также о сроках их исполнения и источниках финансирования;</t>
  </si>
  <si>
    <t>Главный электрик</t>
  </si>
  <si>
    <t>вкладка п.п. 11 Б-6</t>
  </si>
  <si>
    <t>о закупке сетевыми организациями электрической энергии для компенсации потерь в сетях и ее стоимости;</t>
  </si>
  <si>
    <t>вкладка п.п. 11 Б-7</t>
  </si>
  <si>
    <t>о размере фактических потерь, оплачиваемых покупателями при осуществлении расчетов за электрическую энергию по уровням напряжения;</t>
  </si>
  <si>
    <t>Совмещение деятельности сетевой и сбытовой организации отсутсвует</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</si>
  <si>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</si>
  <si>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вкладка п.п. 11 Б-9</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</si>
  <si>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</si>
  <si>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</si>
  <si>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вкладка п.п. 11 Б-10-11</t>
  </si>
  <si>
    <t>об объеме недопоставленной в результате аварийных отключений электрической энергии;</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</si>
  <si>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ежеквартально.</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</si>
  <si>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</si>
  <si>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вкладка п.п. 11 Б-12</t>
  </si>
  <si>
    <t>с 1 октября 2013 г.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</si>
  <si>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вкладка п.п. 11 Б-13</t>
  </si>
  <si>
    <t>о вводе в ремонт и выводе из ремонта электросетевых объектов с указанием сроков (сводная информация);</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</si>
  <si>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по мере обновления, но не реже одного раза в месяц</t>
  </si>
  <si>
    <t>вкладка п.п. 11 Б-14</t>
  </si>
  <si>
    <t>в</t>
  </si>
  <si>
    <t>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</si>
  <si>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поданных заявок и объема мощности, необходимого для их удовлетворения;</t>
  </si>
  <si>
    <t>в отношении трансформаторных подстанций 35 кВ и выше 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ежемесячно, в отношении трансформаторных подстанций до 35 кВ, предоставляется потребителю в течение 7 дней со дня поступления соответствующего письменного запроса</t>
  </si>
  <si>
    <t>вкладка п.п.11 в-1</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</si>
  <si>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</si>
  <si>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вкладка п.п.11 в-2</t>
  </si>
  <si>
    <t>аннулированных заявок на технологическое присоединение;</t>
  </si>
  <si>
    <t>вкладка п.п.11 в-3</t>
  </si>
  <si>
    <t>выполненных присоединений и присоединенной мощности;</t>
  </si>
  <si>
    <t>вкладка п.п.11 в-4</t>
  </si>
  <si>
    <t>в1</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</si>
  <si>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</si>
  <si>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вкладка п.п.11 в (1)</t>
  </si>
  <si>
    <t>г</t>
  </si>
  <si>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</si>
  <si>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предоставляется субъектам оперативно-диспетчерского управления 2 раза в год в конце каждого полугодия текущего года</t>
  </si>
  <si>
    <t>вкладка п.п.11 Г</t>
  </si>
  <si>
    <t>д</t>
  </si>
  <si>
    <t>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</si>
  <si>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ежегодно, до 1 марта, в отношении трансформаторных подстанций до 35 кВ, предоставляется потребителю в течение 7 дней со дня поступления соответствующего письменного запроса</t>
  </si>
  <si>
    <t>е</t>
  </si>
  <si>
    <t>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</si>
  <si>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подлежит опубликованию в электронных средствах массовой информации или на официальном сайте коммерческого оператора оптового рынка в сети "Интернет" не позднее 12 числа месяца, следующего за расчетным.</t>
  </si>
  <si>
    <t>вкладка п.п.11 Е</t>
  </si>
  <si>
    <t>е1</t>
  </si>
  <si>
    <t>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t>
  </si>
  <si>
    <t>подлежит опубликованию на официальном сайте сетевой организации или на ином официальном сайте в сети Интернет, определяемом Правительством Российской Федерации. Информация, указанная в подпункте "е(2)" пункта 11 настоящего документа, подлежит доведению до сведения заявителей с момента поступления заявки на технологическое присоединение и совершения сетевой организацией дальнейших юридически значимых действий по рассмотрению этой заявки, заключению и исполнению договора об осуществлении технологического присоединения в отношении каждой заявки, поступающей в сетевую организацию, с использованием личного кабинета заявителя на официальном сайте сетевой организации или ином официальном сайте в сети Интернет, определяемом Правительством Российской Федерации. Порядок создания личного кабинета определяется сетевой организацией самостоятельно.</t>
  </si>
  <si>
    <t>е2</t>
  </si>
  <si>
    <t>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</si>
  <si>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ж</t>
  </si>
  <si>
    <t>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ее материалах, включая:</t>
  </si>
  <si>
    <t>http://www.rsmenergo.ru/potrebitelyam</t>
  </si>
  <si>
    <t>№, дата договора с заявителем</t>
  </si>
  <si>
    <t>дата</t>
  </si>
  <si>
    <t>дата оплаты</t>
  </si>
  <si>
    <t>Суммы и дата оплаты заявителем</t>
  </si>
  <si>
    <t>№ и дата акта тех присоед</t>
  </si>
  <si>
    <t>№301/09 ТП /61/1</t>
  </si>
  <si>
    <t>№251/12</t>
  </si>
  <si>
    <t>№65/12</t>
  </si>
  <si>
    <t>№103/10 ТП</t>
  </si>
  <si>
    <t>№104/10 ТП</t>
  </si>
  <si>
    <t>№298/11</t>
  </si>
  <si>
    <t>№55/12</t>
  </si>
  <si>
    <t>№303/12</t>
  </si>
  <si>
    <t>№336/12</t>
  </si>
  <si>
    <t>№147/14</t>
  </si>
  <si>
    <t>№164/17</t>
  </si>
  <si>
    <t>№103/11 ,№102/11</t>
  </si>
  <si>
    <t>№210/12</t>
  </si>
  <si>
    <t>№211/12</t>
  </si>
  <si>
    <t>№231/12</t>
  </si>
  <si>
    <t>№337/12</t>
  </si>
  <si>
    <t>№256/14</t>
  </si>
  <si>
    <t>№131/17</t>
  </si>
  <si>
    <t>№252/15</t>
  </si>
  <si>
    <t>№28/16</t>
  </si>
  <si>
    <t>№29/16</t>
  </si>
  <si>
    <t>№262/16</t>
  </si>
  <si>
    <t>№205/12</t>
  </si>
  <si>
    <t>№100/14</t>
  </si>
  <si>
    <t>№283/13</t>
  </si>
  <si>
    <t>№204/16</t>
  </si>
  <si>
    <t>№258/10</t>
  </si>
  <si>
    <t>№177/12</t>
  </si>
  <si>
    <t>№104/11</t>
  </si>
  <si>
    <t>№101/11</t>
  </si>
  <si>
    <t>№176/17</t>
  </si>
  <si>
    <t>Сумма договора с заявителем, руб. с НДС</t>
  </si>
  <si>
    <t>сумма, руб. с НДС</t>
  </si>
  <si>
    <t>29.07.2009</t>
  </si>
  <si>
    <t>№221/09</t>
  </si>
  <si>
    <t>№223/09</t>
  </si>
  <si>
    <t>№48/10 ТП</t>
  </si>
  <si>
    <t>№209/10</t>
  </si>
  <si>
    <t>№66/12</t>
  </si>
  <si>
    <t>№198/14</t>
  </si>
  <si>
    <t>№467</t>
  </si>
  <si>
    <t>№728</t>
  </si>
  <si>
    <t>№388</t>
  </si>
  <si>
    <t>№626</t>
  </si>
  <si>
    <t>№661</t>
  </si>
  <si>
    <t>№1275</t>
  </si>
  <si>
    <t>№1274</t>
  </si>
  <si>
    <t>акт б/н</t>
  </si>
  <si>
    <t>№828</t>
  </si>
  <si>
    <t>(Мелихов) №216, (Бедусенко) №217,(Антонов) №218 от 02.06.2011г.</t>
  </si>
  <si>
    <t>№575</t>
  </si>
  <si>
    <t>№659</t>
  </si>
  <si>
    <t>№1025</t>
  </si>
  <si>
    <t>№479</t>
  </si>
  <si>
    <t>№31</t>
  </si>
  <si>
    <t>№1002</t>
  </si>
  <si>
    <t>№420</t>
  </si>
  <si>
    <t>№1</t>
  </si>
  <si>
    <t>№1161</t>
  </si>
  <si>
    <t>№522</t>
  </si>
  <si>
    <t>№204</t>
  </si>
  <si>
    <t>№151</t>
  </si>
  <si>
    <t>№642</t>
  </si>
  <si>
    <t xml:space="preserve"> №20</t>
  </si>
  <si>
    <t>№60</t>
  </si>
  <si>
    <t>№572</t>
  </si>
  <si>
    <t>№3</t>
  </si>
  <si>
    <t>12000.00</t>
  </si>
  <si>
    <t>213. 39</t>
  </si>
  <si>
    <t xml:space="preserve">абоненты  ЦЭС  АО "Донэнерго" </t>
  </si>
  <si>
    <t>абоненты ЦЭС АО "Коммунальщик Дона"</t>
  </si>
  <si>
    <t xml:space="preserve">абоненты  ЦЭС  ПАО "ВымпелКом" </t>
  </si>
  <si>
    <t>абоненты  ЦЭС ПАО "ВымпелКом"</t>
  </si>
  <si>
    <t>декабря 2016 года</t>
  </si>
  <si>
    <t>июня 2017 года</t>
  </si>
  <si>
    <t xml:space="preserve">Формы типовых договоров по технологическому присоединению утверждены
Постановлением Правительства
Российской Федерации
от 1 марта 2011 г. N 129, форма типового договора на передачу эл.энергии (мощности): на официальном сайте http://www.rsmenergo.ru/potrebitelyam/peredacha-elektricheskoj-energii
</t>
  </si>
  <si>
    <t>Отчет о реализации инвестиционной программы и об обосновывающих материалах (в т.ч.выполненные закупки товаров, работ и услуг для реализации утвержденной инвестиционной программы) за 2017 г. расположен по ссылке:</t>
  </si>
  <si>
    <t>http://zakupki.gov.ru/223/clause/public/order-clause/info/documents.html?clauseId=11087&amp;clauseInfoId=239926&amp;versioned=&amp;activeTab=1</t>
  </si>
  <si>
    <t>http://www.rsmenergo.ru/zayavka</t>
  </si>
  <si>
    <t>№191/17</t>
  </si>
  <si>
    <t>а) подача заявки юридическим или физическим лицом (далее - заявитель), которое имеет намерение осуществить технологическое присоединение, увеличить объем максимальной мощности, а также изменить категорию надежности электроснабжения, точки присоединения, виды производственной деятельности без пересмотра (увеличения) величины максимальной мощности, но с изменением схемы внешнего электроснабжения энергопринимающих устройств заявителя;</t>
  </si>
  <si>
    <t>в) выполнение сторонами договора мероприятий по технологическому присоединению, предусмотренных договором;</t>
  </si>
  <si>
    <t>г) получение разрешения органа федерального государственного энергетического надзора на допуск в эксплуатацию объектов заявителя.</t>
  </si>
  <si>
    <t>д) осуществление сетевой организацией фактического присоединения объектов заявителя к электрическим сетям и фактического приема (подачи) напряжения и мощности. Под фактическим присоединением понимается комплекс технических и организационных мероприятий, обеспечивающих физическое соединение (контакт) объектов электросетевого хозяйства сетевой организации, в которую была подана заявка, и объектов электроэнергетики (энергопринимающих устройств) заявителя без осуществления фактической подачи (приема) напряжения и мощности на объекты заявителя (фиксация коммутационного аппарата в положении "отключено"). Фактический прием (подача) напряжения и мощности осуществляется путем включения коммутационного аппарата (фиксация коммутационного аппарата в положении "включено");</t>
  </si>
  <si>
    <t>е) составление акта об осуществлении технологического присоединения, а также акта согласования технологической и (или) аварийной брони (для заявителей, указанных в п. 14(2) «Правил технологического присоединения энергопринимающих устройств потребителей,,,»).</t>
  </si>
  <si>
    <t>По окончании осуществления мероприятий по технологическому присоединению стороны составляют акт об осуществлении технологического присоединения и акт согласования технологической и (или) аварийной брони в соответствии с п. 14.2 «Правил технологического присоединения энергопринимающих устройств потребителей,,,».</t>
  </si>
  <si>
    <t>Федеральный закон от 26 марта 2003 г. № 35-ФЗ "Об электроэнергетике" (в редакции Федерального закона от 29.07.2017 № 273-ФЗ)</t>
  </si>
  <si>
    <t>Постановление Правительства РФ № 861 от 27.12.2004 г. "Об утверждении правил недискриминационного доступа к услугам по передаче электрической энергии и оказания этих услуг..." (в ред. Постановления Правительства РФ от 28.07.2017 № 895)</t>
  </si>
  <si>
    <r>
      <t>Постановление Правительства РФ от 29.12.2011 г. № 1178 "О ценообразовании в области регулируемых цен (тарифов) в электроэнергетике"</t>
    </r>
    <r>
      <rPr>
        <sz val="11"/>
        <color indexed="8"/>
        <rFont val="Arial"/>
        <family val="2"/>
        <charset val="204"/>
      </rPr>
      <t xml:space="preserve"> </t>
    </r>
    <r>
      <rPr>
        <i/>
        <u/>
        <sz val="11"/>
        <color indexed="12"/>
        <rFont val="Arial"/>
        <family val="2"/>
        <charset val="204"/>
      </rPr>
      <t>(в редакции Постановления Правительства РФ от 28.08.2017 № 1016)</t>
    </r>
  </si>
  <si>
    <t>В случае технологического присоединения объектов лиц, укказанных в п. 12 «Правил технологического присоединения энергопринимающих устройств потребителей,,,», технологическое присоединение которых осуществляется по третьей категории надежности (по одному источнику электроснабжения) к электрическим сетям классом напряжения до 20 кВ включительно, объектов лиц, указанных в п. 12(1), 13 и 14 «Правил технологического присоединения энергопринимающих устройств потребителей,,,», а также в отношении объектов электросетевого хозяйства сетевых организаций классом напряжения до 20 кВ включительно, построенных (реконструированных) в рамках исполнения технических условий в целях осуществления технологического присоединения заявителя, получение разрешения органа федерального государственного энергетического надзора на допуск в эксплуатацию объектов заявителя с учетом положений п. 18(1) - 18(4) «Правил технологического присоединения энергопринимающих устройств потребителей,,,» не требуется;</t>
  </si>
  <si>
    <t>Информация о величине резервируемой максимальной мощности за 2017 год</t>
  </si>
  <si>
    <t>Объем мощности 2016 г., кВт</t>
  </si>
  <si>
    <t>Объем мощности 2017 г., кВт</t>
  </si>
  <si>
    <t>№1151</t>
  </si>
  <si>
    <t>Планируемые объемы услуг по передаче электрической энергии (мощности) на 2018 год</t>
  </si>
  <si>
    <t>Плановый доход от деятельности по передаче эл.энергии (мощности) через сети ООО "РСМЭ" абонента МРСК-Ростовэнерго в 2018 г. по ВН</t>
  </si>
  <si>
    <t>Фактический доход от деятельности по передаче эл.энергии (мощности) через сети ООО "РСМЭ" абонента МРСК-Ростовэнерго в 2018 г. по ВН</t>
  </si>
  <si>
    <t>норматив технологических потерь электроэнергии при ее передачи по электрическим сетям на 2017 год 5,52 % от отпуска в сеть</t>
  </si>
  <si>
    <t>норматив технологических потерь электроэнергии при ее передачи по электрическим сетям на 2018 год 5,52 % от отпуска в сеть</t>
  </si>
  <si>
    <t>Уровень нормативных потерь утвержденный постановлением РСТ РО от 25.12.2014 № 85/3,  с изменениями, внесенными постановлением РСТ РО от 05.12.2017 № 68/1 на 2018 г.:</t>
  </si>
  <si>
    <t>Уровень нормативных потерь утвержденный постановлением РСТ РО от 25.12.2014 № 85/3,  с изменениями, внесенными постановлением РСТ РО от 10.11.2016 № 58/1 на 2017 г.:</t>
  </si>
  <si>
    <t>- отпуск электроэнергии в сеть 171 645,51 тыс. кВтч;</t>
  </si>
  <si>
    <t>- отпуск электроэнергии в сеть 184 739,18    тыс. кВтч;</t>
  </si>
  <si>
    <t>2017 (план РСТ РО)</t>
  </si>
  <si>
    <t>2017 (факт)</t>
  </si>
  <si>
    <t>за  2017 год.</t>
  </si>
  <si>
    <t>за 2017 год.</t>
  </si>
  <si>
    <t>Автомобиль УАЗ-374195 (Т 760 ХУ 161)</t>
  </si>
  <si>
    <t>Вольтметр</t>
  </si>
  <si>
    <t>Здание реагентного хозяйства</t>
  </si>
  <si>
    <t>Выключатель колонковый элегазовый зав.№194</t>
  </si>
  <si>
    <t>Генератор</t>
  </si>
  <si>
    <t>Прицеп МЗСА 817732 (СЕ 552461)</t>
  </si>
  <si>
    <t>Кресло Ерго Е281А</t>
  </si>
  <si>
    <t>Пульт управления установками ПУ 220-11/4,4</t>
  </si>
  <si>
    <t>Осциллограф</t>
  </si>
  <si>
    <t>Система телемеханики РП-3</t>
  </si>
  <si>
    <t>Переносной расходомер</t>
  </si>
  <si>
    <t>Электрооборудование  трансформатора  110 кВ 2Т</t>
  </si>
  <si>
    <t>Расходомер Взлет ЭР ЭРСВ-310, Ду 200</t>
  </si>
  <si>
    <t>Электрооборудование  ячейки   110 кВ 2Т ГПП-1</t>
  </si>
  <si>
    <t>Реактор РБ-10-1000-0,35</t>
  </si>
  <si>
    <t>Телефонный аппарат цифровой Dialog 4223</t>
  </si>
  <si>
    <t>Трасформатор тока элегазовый зав. № 5084</t>
  </si>
  <si>
    <t>Трасформатор тока элегазовый зав. № 5085</t>
  </si>
  <si>
    <t>Трасформатор тока элегазовый зав. № 5086</t>
  </si>
  <si>
    <t>ТР-Р 4000КВА 110/6/6КВ ТРДН4    Э</t>
  </si>
</sst>
</file>

<file path=xl/styles.xml><?xml version="1.0" encoding="utf-8"?>
<styleSheet xmlns="http://schemas.openxmlformats.org/spreadsheetml/2006/main">
  <numFmts count="49">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0.00000"/>
    <numFmt numFmtId="168" formatCode="_-* #,##0.000_р_._-;\-* #,##0.000_р_._-;_-* &quot;-&quot;??_р_._-;_-@_-"/>
    <numFmt numFmtId="169" formatCode="0.0%"/>
    <numFmt numFmtId="170" formatCode="0.0%_);\(0.0%\)"/>
    <numFmt numFmtId="171" formatCode="#,##0_);[Red]\(#,##0\)"/>
    <numFmt numFmtId="172" formatCode="#,##0;\(#,##0\)"/>
    <numFmt numFmtId="173" formatCode="_-* #,##0.00\ _$_-;\-* #,##0.00\ _$_-;_-* &quot;-&quot;??\ _$_-;_-@_-"/>
    <numFmt numFmtId="174" formatCode="#\."/>
    <numFmt numFmtId="175" formatCode="#.##0\.00"/>
    <numFmt numFmtId="176" formatCode="#\.00"/>
    <numFmt numFmtId="177" formatCode="\$#\.00"/>
    <numFmt numFmtId="178" formatCode="General_)"/>
    <numFmt numFmtId="179" formatCode="_-* #,##0&quot;đ.&quot;_-;\-* #,##0&quot;đ.&quot;_-;_-* &quot;-&quot;&quot;đ.&quot;_-;_-@_-"/>
    <numFmt numFmtId="180" formatCode="_-* #,##0.00&quot;đ.&quot;_-;\-* #,##0.00&quot;đ.&quot;_-;_-* &quot;-&quot;??&quot;đ.&quot;_-;_-@_-"/>
    <numFmt numFmtId="181" formatCode="&quot;$&quot;#,##0_);[Red]\(&quot;$&quot;#,##0\)"/>
    <numFmt numFmtId="182" formatCode="\$#,##0\ ;\(\$#,##0\)"/>
    <numFmt numFmtId="183" formatCode="#,##0.000[$р.-419];\-#,##0.000[$р.-419]"/>
    <numFmt numFmtId="184" formatCode="_-* #,##0.0\ _$_-;\-* #,##0.0\ _$_-;_-* &quot;-&quot;??\ _$_-;_-@_-"/>
    <numFmt numFmtId="185" formatCode="_-* #,##0.00[$€-1]_-;\-* #,##0.00[$€-1]_-;_-* &quot;-&quot;??[$€-1]_-"/>
    <numFmt numFmtId="186" formatCode="#,##0.0_);\(#,##0.0\)"/>
    <numFmt numFmtId="187" formatCode="#,##0_ ;[Red]\-#,##0\ "/>
    <numFmt numFmtId="188" formatCode="#,##0_);[Blue]\(#,##0\)"/>
    <numFmt numFmtId="189" formatCode="_-* #,##0_-;\-* #,##0_-;_-* &quot;-&quot;_-;_-@_-"/>
    <numFmt numFmtId="190" formatCode="_-* #,##0.00_-;\-* #,##0.00_-;_-* &quot;-&quot;??_-;_-@_-"/>
    <numFmt numFmtId="191" formatCode="#,##0__\ \ \ \ "/>
    <numFmt numFmtId="192" formatCode="_-&quot;£&quot;* #,##0_-;\-&quot;£&quot;* #,##0_-;_-&quot;£&quot;* &quot;-&quot;_-;_-@_-"/>
    <numFmt numFmtId="193" formatCode="_-&quot;£&quot;* #,##0.00_-;\-&quot;£&quot;* #,##0.00_-;_-&quot;£&quot;* &quot;-&quot;??_-;_-@_-"/>
    <numFmt numFmtId="194" formatCode="#,##0.00&quot;т.р.&quot;;\-#,##0.00&quot;т.р.&quot;"/>
    <numFmt numFmtId="195" formatCode="#,##0.0;[Red]#,##0.0"/>
    <numFmt numFmtId="196" formatCode="_-* #,##0_đ_._-;\-* #,##0_đ_._-;_-* &quot;-&quot;_đ_._-;_-@_-"/>
    <numFmt numFmtId="197" formatCode="_-* #,##0.00_đ_._-;\-* #,##0.00_đ_._-;_-* &quot;-&quot;??_đ_._-;_-@_-"/>
    <numFmt numFmtId="198" formatCode="\(#,##0.0\)"/>
    <numFmt numFmtId="199" formatCode="#,##0\ &quot;?.&quot;;\-#,##0\ &quot;?.&quot;"/>
    <numFmt numFmtId="200" formatCode="#,##0______;;&quot;------------      &quot;"/>
    <numFmt numFmtId="201" formatCode="#,##0.000_ ;\-#,##0.000\ "/>
    <numFmt numFmtId="202" formatCode="#,##0.00_ ;[Red]\-#,##0.00\ "/>
    <numFmt numFmtId="203" formatCode="#,##0.0"/>
    <numFmt numFmtId="204" formatCode="0.00000"/>
    <numFmt numFmtId="205" formatCode="#,##0&quot;р.&quot;"/>
    <numFmt numFmtId="206" formatCode="#,##0.00&quot;р.&quot;"/>
    <numFmt numFmtId="207" formatCode="#,##0.000000"/>
    <numFmt numFmtId="208" formatCode="#,##0.00;[Red]\-#,##0.00"/>
  </numFmts>
  <fonts count="254">
    <font>
      <sz val="11"/>
      <color theme="1"/>
      <name val="Calibri"/>
      <family val="2"/>
      <charset val="204"/>
      <scheme val="minor"/>
    </font>
    <font>
      <b/>
      <sz val="11"/>
      <color indexed="8"/>
      <name val="Calibri"/>
      <family val="2"/>
      <charset val="204"/>
    </font>
    <font>
      <b/>
      <sz val="14"/>
      <color indexed="8"/>
      <name val="Calibri"/>
      <family val="2"/>
      <charset val="204"/>
    </font>
    <font>
      <b/>
      <sz val="18"/>
      <color indexed="8"/>
      <name val="Calibri"/>
      <family val="2"/>
      <charset val="204"/>
    </font>
    <font>
      <b/>
      <sz val="20"/>
      <color indexed="8"/>
      <name val="Calibri"/>
      <family val="2"/>
      <charset val="204"/>
    </font>
    <font>
      <b/>
      <sz val="12"/>
      <color indexed="8"/>
      <name val="Times New Roman"/>
      <family val="1"/>
      <charset val="204"/>
    </font>
    <font>
      <u/>
      <sz val="14"/>
      <color indexed="12"/>
      <name val="Calibri"/>
      <family val="2"/>
      <charset val="204"/>
    </font>
    <font>
      <i/>
      <sz val="12"/>
      <color indexed="8"/>
      <name val="Times New Roman"/>
      <family val="1"/>
      <charset val="204"/>
    </font>
    <font>
      <sz val="12"/>
      <color indexed="8"/>
      <name val="Times New Roman"/>
      <family val="1"/>
      <charset val="204"/>
    </font>
    <font>
      <u/>
      <sz val="12"/>
      <color indexed="12"/>
      <name val="Calibri"/>
      <family val="2"/>
      <charset val="204"/>
    </font>
    <font>
      <u/>
      <sz val="14"/>
      <color indexed="12"/>
      <name val="Times New Roman"/>
      <family val="1"/>
      <charset val="204"/>
    </font>
    <font>
      <b/>
      <sz val="11"/>
      <color indexed="30"/>
      <name val="Calibri"/>
      <family val="2"/>
      <charset val="204"/>
    </font>
    <font>
      <sz val="10"/>
      <name val="Arial Cyr"/>
      <charset val="204"/>
    </font>
    <font>
      <sz val="12"/>
      <name val="Arial Cyr"/>
      <family val="2"/>
      <charset val="204"/>
    </font>
    <font>
      <sz val="14"/>
      <name val="Arial Cyr"/>
      <family val="2"/>
      <charset val="204"/>
    </font>
    <font>
      <b/>
      <sz val="20"/>
      <name val="Arial Cyr"/>
      <charset val="204"/>
    </font>
    <font>
      <b/>
      <u/>
      <sz val="20"/>
      <name val="Arial Cyr"/>
      <family val="2"/>
      <charset val="204"/>
    </font>
    <font>
      <b/>
      <sz val="16"/>
      <name val="Arial Cyr"/>
      <charset val="204"/>
    </font>
    <font>
      <sz val="16"/>
      <name val="Arial Cyr"/>
      <family val="2"/>
      <charset val="204"/>
    </font>
    <font>
      <sz val="14"/>
      <name val="Arial Cyr"/>
      <charset val="204"/>
    </font>
    <font>
      <b/>
      <sz val="14"/>
      <name val="Arial Cyr"/>
      <charset val="204"/>
    </font>
    <font>
      <sz val="14"/>
      <name val="Arial Cyr"/>
    </font>
    <font>
      <sz val="20"/>
      <name val="Arial Cyr"/>
      <family val="2"/>
      <charset val="204"/>
    </font>
    <font>
      <b/>
      <sz val="12"/>
      <name val="Arial Cyr"/>
      <charset val="204"/>
    </font>
    <font>
      <sz val="14"/>
      <color indexed="8"/>
      <name val="Arial Cyr"/>
      <family val="2"/>
      <charset val="204"/>
    </font>
    <font>
      <b/>
      <sz val="14"/>
      <color indexed="8"/>
      <name val="Arial Cyr"/>
      <family val="2"/>
      <charset val="204"/>
    </font>
    <font>
      <sz val="12"/>
      <color indexed="8"/>
      <name val="Calibri"/>
      <family val="2"/>
      <charset val="204"/>
    </font>
    <font>
      <u/>
      <sz val="16"/>
      <color indexed="12"/>
      <name val="Calibri"/>
      <family val="2"/>
      <charset val="204"/>
    </font>
    <font>
      <b/>
      <sz val="14"/>
      <name val="Calibri"/>
      <family val="2"/>
      <charset val="204"/>
    </font>
    <font>
      <b/>
      <sz val="12"/>
      <color indexed="8"/>
      <name val="Calibri"/>
      <family val="2"/>
      <charset val="204"/>
    </font>
    <font>
      <b/>
      <i/>
      <sz val="12"/>
      <color indexed="8"/>
      <name val="Calibri"/>
      <family val="2"/>
      <charset val="204"/>
    </font>
    <font>
      <sz val="10"/>
      <name val="Tahoma"/>
      <family val="2"/>
      <charset val="204"/>
    </font>
    <font>
      <sz val="10"/>
      <name val="Times New Roman"/>
      <family val="1"/>
      <charset val="204"/>
    </font>
    <font>
      <sz val="11"/>
      <name val="Calibri"/>
      <family val="2"/>
      <charset val="204"/>
    </font>
    <font>
      <sz val="11"/>
      <color indexed="8"/>
      <name val="Calibri"/>
      <family val="2"/>
      <charset val="204"/>
    </font>
    <font>
      <sz val="11"/>
      <color indexed="8"/>
      <name val="Arial"/>
      <family val="2"/>
      <charset val="204"/>
    </font>
    <font>
      <sz val="10"/>
      <name val="Arial"/>
      <family val="2"/>
      <charset val="204"/>
    </font>
    <font>
      <sz val="12"/>
      <name val="Arial"/>
      <family val="2"/>
      <charset val="204"/>
    </font>
    <font>
      <b/>
      <sz val="10"/>
      <name val="Arial"/>
      <family val="2"/>
      <charset val="204"/>
    </font>
    <font>
      <b/>
      <sz val="11"/>
      <name val="Arial"/>
      <family val="2"/>
      <charset val="204"/>
    </font>
    <font>
      <sz val="11"/>
      <name val="Arial"/>
      <family val="2"/>
      <charset val="204"/>
    </font>
    <font>
      <i/>
      <sz val="11"/>
      <name val="Arial"/>
      <family val="2"/>
      <charset val="204"/>
    </font>
    <font>
      <sz val="10"/>
      <color indexed="8"/>
      <name val="Tahoma"/>
      <family val="2"/>
      <charset val="204"/>
    </font>
    <font>
      <sz val="11"/>
      <color indexed="9"/>
      <name val="Calibri"/>
      <family val="2"/>
      <charset val="204"/>
    </font>
    <font>
      <sz val="10"/>
      <name val="Helv"/>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b/>
      <i/>
      <sz val="10"/>
      <color indexed="10"/>
      <name val="Arial Cyr"/>
      <family val="2"/>
      <charset val="204"/>
    </font>
    <font>
      <b/>
      <sz val="11"/>
      <name val="Arial Cyr"/>
      <family val="2"/>
      <charset val="204"/>
    </font>
    <font>
      <sz val="11"/>
      <name val="Times New Roman CYR"/>
      <family val="1"/>
      <charset val="204"/>
    </font>
    <font>
      <b/>
      <sz val="11"/>
      <color indexed="8"/>
      <name val="Arial"/>
      <family val="2"/>
      <charset val="204"/>
    </font>
    <font>
      <b/>
      <i/>
      <sz val="11"/>
      <color indexed="8"/>
      <name val="Arial"/>
      <family val="2"/>
      <charset val="204"/>
    </font>
    <font>
      <sz val="12"/>
      <color indexed="8"/>
      <name val="Arial"/>
      <family val="2"/>
      <charset val="204"/>
    </font>
    <font>
      <i/>
      <sz val="11"/>
      <color indexed="8"/>
      <name val="Arial"/>
      <family val="2"/>
      <charset val="204"/>
    </font>
    <font>
      <b/>
      <sz val="11"/>
      <color indexed="8"/>
      <name val="Calibri"/>
      <family val="2"/>
      <charset val="204"/>
    </font>
    <font>
      <b/>
      <i/>
      <sz val="9"/>
      <name val="Arial"/>
      <family val="2"/>
      <charset val="204"/>
    </font>
    <font>
      <i/>
      <sz val="10"/>
      <name val="Arial"/>
      <family val="2"/>
      <charset val="204"/>
    </font>
    <font>
      <b/>
      <i/>
      <sz val="10"/>
      <name val="Arial"/>
      <family val="2"/>
      <charset val="204"/>
    </font>
    <font>
      <u/>
      <sz val="10"/>
      <color indexed="12"/>
      <name val="Arial"/>
      <family val="2"/>
      <charset val="204"/>
    </font>
    <font>
      <b/>
      <sz val="14"/>
      <color indexed="8"/>
      <name val="Arial"/>
      <family val="2"/>
      <charset val="204"/>
    </font>
    <font>
      <b/>
      <i/>
      <sz val="12"/>
      <color indexed="8"/>
      <name val="Arial"/>
      <family val="2"/>
      <charset val="204"/>
    </font>
    <font>
      <i/>
      <sz val="11"/>
      <color indexed="8"/>
      <name val="Calibri"/>
      <family val="2"/>
      <charset val="204"/>
    </font>
    <font>
      <i/>
      <sz val="11"/>
      <color indexed="10"/>
      <name val="Arial"/>
      <family val="2"/>
      <charset val="204"/>
    </font>
    <font>
      <sz val="11"/>
      <color indexed="12"/>
      <name val="Arial"/>
      <family val="2"/>
      <charset val="204"/>
    </font>
    <font>
      <sz val="11"/>
      <color indexed="12"/>
      <name val="Calibri"/>
      <family val="2"/>
      <charset val="204"/>
    </font>
    <font>
      <b/>
      <sz val="10"/>
      <color indexed="8"/>
      <name val="Arial"/>
      <family val="2"/>
      <charset val="204"/>
    </font>
    <font>
      <sz val="14"/>
      <color indexed="8"/>
      <name val="Times New Roman"/>
      <family val="1"/>
      <charset val="204"/>
    </font>
    <font>
      <sz val="14"/>
      <color indexed="8"/>
      <name val="Calibri"/>
      <family val="2"/>
      <charset val="204"/>
    </font>
    <font>
      <sz val="12"/>
      <name val="Times New Roman"/>
      <family val="1"/>
      <charset val="204"/>
    </font>
    <font>
      <sz val="12"/>
      <color indexed="12"/>
      <name val="Times New Roman"/>
      <family val="1"/>
      <charset val="204"/>
    </font>
    <font>
      <b/>
      <sz val="9"/>
      <name val="Times New Roman"/>
      <family val="1"/>
      <charset val="204"/>
    </font>
    <font>
      <b/>
      <sz val="12"/>
      <name val="Times New Roman"/>
      <family val="1"/>
      <charset val="204"/>
    </font>
    <font>
      <b/>
      <sz val="12"/>
      <color indexed="12"/>
      <name val="Times New Roman"/>
      <family val="1"/>
      <charset val="204"/>
    </font>
    <font>
      <sz val="12"/>
      <color indexed="10"/>
      <name val="Times New Roman"/>
      <family val="1"/>
      <charset val="204"/>
    </font>
    <font>
      <sz val="16"/>
      <name val="Arial"/>
      <family val="2"/>
      <charset val="204"/>
    </font>
    <font>
      <i/>
      <u/>
      <sz val="11"/>
      <color indexed="12"/>
      <name val="Arial"/>
      <family val="2"/>
      <charset val="204"/>
    </font>
    <font>
      <b/>
      <sz val="12"/>
      <color indexed="30"/>
      <name val="Calibri"/>
      <family val="2"/>
      <charset val="204"/>
    </font>
    <font>
      <sz val="10"/>
      <color indexed="8"/>
      <name val="Times New Roman"/>
      <family val="1"/>
      <charset val="204"/>
    </font>
    <font>
      <u/>
      <sz val="12"/>
      <color indexed="12"/>
      <name val="Calibri"/>
      <family val="2"/>
      <charset val="204"/>
    </font>
    <font>
      <b/>
      <sz val="18"/>
      <name val="Times New Roman"/>
      <family val="1"/>
      <charset val="204"/>
    </font>
    <font>
      <sz val="9"/>
      <name val="Times New Roman"/>
      <family val="1"/>
      <charset val="204"/>
    </font>
    <font>
      <b/>
      <u/>
      <sz val="10"/>
      <name val="Times New Roman"/>
      <family val="1"/>
      <charset val="204"/>
    </font>
    <font>
      <u/>
      <sz val="11"/>
      <color indexed="12"/>
      <name val="Calibri"/>
      <family val="2"/>
      <charset val="204"/>
    </font>
    <font>
      <b/>
      <sz val="10"/>
      <name val="Tahoma"/>
      <family val="2"/>
      <charset val="204"/>
    </font>
    <font>
      <sz val="14"/>
      <name val="Tahoma"/>
      <family val="2"/>
      <charset val="204"/>
    </font>
    <font>
      <b/>
      <sz val="12"/>
      <name val="Tahoma"/>
      <family val="2"/>
      <charset val="204"/>
    </font>
    <font>
      <i/>
      <sz val="12"/>
      <name val="Times New Roman"/>
      <family val="1"/>
      <charset val="204"/>
    </font>
    <font>
      <b/>
      <sz val="13"/>
      <color indexed="8"/>
      <name val="Times New Roman"/>
      <family val="1"/>
      <charset val="204"/>
    </font>
    <font>
      <sz val="13"/>
      <color indexed="8"/>
      <name val="Times New Roman"/>
      <family val="1"/>
      <charset val="204"/>
    </font>
    <font>
      <sz val="7"/>
      <color indexed="8"/>
      <name val="Times New Roman"/>
      <family val="1"/>
      <charset val="204"/>
    </font>
    <font>
      <b/>
      <sz val="7"/>
      <color indexed="8"/>
      <name val="Times New Roman"/>
      <family val="1"/>
      <charset val="204"/>
    </font>
    <font>
      <b/>
      <sz val="8"/>
      <color indexed="8"/>
      <name val="Times New Roman"/>
      <family val="1"/>
      <charset val="204"/>
    </font>
    <font>
      <sz val="8"/>
      <color indexed="8"/>
      <name val="Times New Roman"/>
      <family val="1"/>
      <charset val="204"/>
    </font>
    <font>
      <b/>
      <sz val="11"/>
      <color indexed="8"/>
      <name val="Times New Roman"/>
      <family val="1"/>
      <charset val="204"/>
    </font>
    <font>
      <b/>
      <sz val="10"/>
      <color indexed="8"/>
      <name val="Times New Roman"/>
      <family val="1"/>
      <charset val="204"/>
    </font>
    <font>
      <sz val="11"/>
      <color indexed="8"/>
      <name val="Times New Roman"/>
      <family val="1"/>
      <charset val="204"/>
    </font>
    <font>
      <sz val="9.5"/>
      <color indexed="8"/>
      <name val="Times New Roman"/>
      <family val="1"/>
      <charset val="204"/>
    </font>
    <font>
      <sz val="12"/>
      <name val="Tahoma"/>
      <family val="2"/>
      <charset val="204"/>
    </font>
    <font>
      <sz val="11"/>
      <name val="Tahoma"/>
      <family val="2"/>
      <charset val="204"/>
    </font>
    <font>
      <b/>
      <sz val="8"/>
      <name val="Tahoma"/>
      <family val="2"/>
      <charset val="204"/>
    </font>
    <font>
      <b/>
      <sz val="8"/>
      <name val="Arial"/>
      <family val="2"/>
      <charset val="204"/>
    </font>
    <font>
      <sz val="8"/>
      <name val="Tahoma"/>
      <family val="2"/>
      <charset val="204"/>
    </font>
    <font>
      <sz val="8"/>
      <color indexed="10"/>
      <name val="Arial"/>
      <family val="2"/>
      <charset val="204"/>
    </font>
    <font>
      <b/>
      <sz val="9"/>
      <color indexed="8"/>
      <name val="Tahoma"/>
      <family val="2"/>
      <charset val="204"/>
    </font>
    <font>
      <b/>
      <sz val="11"/>
      <color indexed="8"/>
      <name val="Tahoma"/>
      <family val="2"/>
      <charset val="204"/>
    </font>
    <font>
      <b/>
      <sz val="6"/>
      <name val="Tahoma"/>
      <family val="2"/>
      <charset val="204"/>
    </font>
    <font>
      <sz val="8"/>
      <color indexed="8"/>
      <name val="Tahoma"/>
      <family val="2"/>
      <charset val="204"/>
    </font>
    <font>
      <b/>
      <sz val="14"/>
      <color indexed="8"/>
      <name val="Tahoma"/>
      <family val="2"/>
      <charset val="204"/>
    </font>
    <font>
      <sz val="6"/>
      <name val="Tahoma"/>
      <family val="2"/>
      <charset val="204"/>
    </font>
    <font>
      <sz val="6"/>
      <color indexed="8"/>
      <name val="Tahoma"/>
      <family val="2"/>
      <charset val="204"/>
    </font>
    <font>
      <b/>
      <sz val="13"/>
      <name val="Times New Roman"/>
      <family val="1"/>
      <charset val="204"/>
    </font>
    <font>
      <sz val="10"/>
      <color indexed="12"/>
      <name val="Arial Cyr"/>
      <charset val="204"/>
    </font>
    <font>
      <sz val="11"/>
      <name val="Times New Roman"/>
      <family val="1"/>
      <charset val="204"/>
    </font>
    <font>
      <i/>
      <sz val="11"/>
      <name val="Times New Roman"/>
      <family val="1"/>
      <charset val="204"/>
    </font>
    <font>
      <sz val="11"/>
      <color indexed="8"/>
      <name val="Tahoma"/>
      <family val="2"/>
      <charset val="204"/>
    </font>
    <font>
      <b/>
      <sz val="10"/>
      <color indexed="81"/>
      <name val="Tahoma"/>
      <family val="2"/>
      <charset val="204"/>
    </font>
    <font>
      <sz val="10"/>
      <color indexed="81"/>
      <name val="Tahoma"/>
      <family val="2"/>
      <charset val="204"/>
    </font>
    <font>
      <sz val="12"/>
      <color indexed="8"/>
      <name val="Tahoma"/>
      <family val="2"/>
      <charset val="204"/>
    </font>
    <font>
      <b/>
      <i/>
      <sz val="12"/>
      <color indexed="8"/>
      <name val="Tahoma"/>
      <family val="2"/>
      <charset val="204"/>
    </font>
    <font>
      <b/>
      <sz val="12"/>
      <color indexed="8"/>
      <name val="Tahoma"/>
      <family val="2"/>
      <charset val="204"/>
    </font>
    <font>
      <b/>
      <sz val="10"/>
      <color indexed="8"/>
      <name val="Tahoma"/>
      <family val="2"/>
      <charset val="204"/>
    </font>
    <font>
      <sz val="14"/>
      <color indexed="8"/>
      <name val="Tahoma"/>
      <family val="2"/>
      <charset val="204"/>
    </font>
    <font>
      <b/>
      <sz val="14"/>
      <name val="Courier New"/>
      <family val="3"/>
      <charset val="204"/>
    </font>
    <font>
      <sz val="10"/>
      <name val="Courier New"/>
      <family val="3"/>
      <charset val="204"/>
    </font>
    <font>
      <b/>
      <sz val="10"/>
      <color indexed="10"/>
      <name val="Arial"/>
      <family val="2"/>
      <charset val="204"/>
    </font>
    <font>
      <b/>
      <sz val="14"/>
      <color indexed="8"/>
      <name val="Times New Roman"/>
      <family val="1"/>
      <charset val="204"/>
    </font>
    <font>
      <b/>
      <sz val="11"/>
      <name val="Times New Roman"/>
      <family val="1"/>
      <charset val="204"/>
    </font>
    <font>
      <sz val="18"/>
      <color indexed="8"/>
      <name val="Times New Roman"/>
      <family val="1"/>
      <charset val="204"/>
    </font>
    <font>
      <sz val="7"/>
      <name val="Arial"/>
      <family val="2"/>
      <charset val="204"/>
    </font>
    <font>
      <sz val="14"/>
      <name val="Times New Roman"/>
      <family val="1"/>
      <charset val="204"/>
    </font>
    <font>
      <sz val="8"/>
      <color indexed="8"/>
      <name val="Arial"/>
      <family val="2"/>
    </font>
    <font>
      <sz val="9"/>
      <color indexed="55"/>
      <name val="Tahoma"/>
      <family val="2"/>
      <charset val="204"/>
    </font>
    <font>
      <sz val="12"/>
      <name val="Calibri"/>
      <family val="2"/>
      <charset val="204"/>
    </font>
    <font>
      <sz val="10"/>
      <name val="Calibri"/>
      <family val="2"/>
      <charset val="204"/>
    </font>
    <font>
      <b/>
      <sz val="12"/>
      <name val="Calibri"/>
      <family val="2"/>
      <charset val="204"/>
    </font>
    <font>
      <b/>
      <sz val="14"/>
      <color indexed="10"/>
      <name val="Arial"/>
      <family val="2"/>
      <charset val="204"/>
    </font>
    <font>
      <b/>
      <sz val="12"/>
      <color indexed="10"/>
      <name val="Arial"/>
      <family val="2"/>
      <charset val="204"/>
    </font>
    <font>
      <sz val="10"/>
      <color indexed="10"/>
      <name val="Arial"/>
      <family val="2"/>
      <charset val="204"/>
    </font>
    <font>
      <sz val="10"/>
      <color indexed="12"/>
      <name val="Arial"/>
      <family val="2"/>
      <charset val="204"/>
    </font>
    <font>
      <b/>
      <sz val="9"/>
      <color indexed="81"/>
      <name val="Tahoma"/>
      <family val="2"/>
      <charset val="204"/>
    </font>
    <font>
      <sz val="9"/>
      <color indexed="8"/>
      <name val="Times New Roman"/>
      <family val="1"/>
      <charset val="204"/>
    </font>
    <font>
      <sz val="13"/>
      <name val="Times New Roman"/>
      <family val="1"/>
      <charset val="204"/>
    </font>
    <font>
      <sz val="1"/>
      <color indexed="8"/>
      <name val="Times New Roman"/>
      <family val="1"/>
      <charset val="204"/>
    </font>
    <font>
      <vertAlign val="superscript"/>
      <sz val="12"/>
      <name val="Times New Roman"/>
      <family val="1"/>
      <charset val="204"/>
    </font>
    <font>
      <sz val="10"/>
      <color indexed="9"/>
      <name val="Times New Roman"/>
      <family val="1"/>
      <charset val="204"/>
    </font>
    <font>
      <vertAlign val="superscript"/>
      <sz val="10"/>
      <name val="Times New Roman"/>
      <family val="1"/>
      <charset val="204"/>
    </font>
    <font>
      <b/>
      <sz val="8"/>
      <color indexed="81"/>
      <name val="Tahoma"/>
      <family val="2"/>
      <charset val="204"/>
    </font>
    <font>
      <u/>
      <sz val="16"/>
      <color indexed="12"/>
      <name val="Calibri"/>
      <family val="2"/>
      <charset val="204"/>
    </font>
    <font>
      <vertAlign val="superscript"/>
      <sz val="9"/>
      <name val="Times New Roman"/>
      <family val="1"/>
      <charset val="204"/>
    </font>
    <font>
      <b/>
      <sz val="10"/>
      <name val="Times New Roman"/>
      <family val="1"/>
      <charset val="204"/>
    </font>
    <font>
      <sz val="10"/>
      <color indexed="10"/>
      <name val="Times New Roman"/>
      <family val="1"/>
      <charset val="204"/>
    </font>
    <font>
      <sz val="16"/>
      <name val="Times New Roman"/>
      <family val="1"/>
      <charset val="204"/>
    </font>
    <font>
      <sz val="8"/>
      <name val="Calibri"/>
      <family val="2"/>
      <charset val="204"/>
    </font>
    <font>
      <u/>
      <sz val="8.8000000000000007"/>
      <color theme="10"/>
      <name val="Calibri"/>
      <family val="2"/>
      <charset val="204"/>
    </font>
  </fonts>
  <fills count="5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8"/>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21"/>
      </left>
      <right style="double">
        <color indexed="21"/>
      </right>
      <top style="double">
        <color indexed="21"/>
      </top>
      <bottom style="double">
        <color indexed="21"/>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top style="thin">
        <color indexed="8"/>
      </top>
      <bottom/>
      <diagonal/>
    </border>
    <border>
      <left/>
      <right style="thin">
        <color indexed="8"/>
      </right>
      <top style="thin">
        <color indexed="8"/>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64"/>
      </bottom>
      <diagonal/>
    </border>
    <border>
      <left/>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top style="medium">
        <color indexed="64"/>
      </top>
      <bottom/>
      <diagonal/>
    </border>
    <border>
      <left style="medium">
        <color indexed="64"/>
      </left>
      <right/>
      <top/>
      <bottom style="medium">
        <color indexed="8"/>
      </bottom>
      <diagonal/>
    </border>
  </borders>
  <cellStyleXfs count="1588">
    <xf numFmtId="0" fontId="0" fillId="0" borderId="0"/>
    <xf numFmtId="0" fontId="44" fillId="0" borderId="0"/>
    <xf numFmtId="0" fontId="36" fillId="0" borderId="0"/>
    <xf numFmtId="169" fontId="45" fillId="0" borderId="0">
      <alignment vertical="top"/>
    </xf>
    <xf numFmtId="169" fontId="46" fillId="0" borderId="0">
      <alignment vertical="top"/>
    </xf>
    <xf numFmtId="170" fontId="46" fillId="2" borderId="0">
      <alignment vertical="top"/>
    </xf>
    <xf numFmtId="169" fontId="46" fillId="3" borderId="0">
      <alignment vertical="top"/>
    </xf>
    <xf numFmtId="40" fontId="47" fillId="0" borderId="0" applyFont="0" applyFill="0" applyBorder="0" applyAlignment="0" applyProtection="0"/>
    <xf numFmtId="0" fontId="48" fillId="0" borderId="0"/>
    <xf numFmtId="0" fontId="49" fillId="0" borderId="0"/>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72" fontId="36" fillId="4" borderId="1">
      <alignment wrapText="1"/>
      <protection locked="0"/>
    </xf>
    <xf numFmtId="0" fontId="44" fillId="0" borderId="0"/>
    <xf numFmtId="0" fontId="49" fillId="0" borderId="0"/>
    <xf numFmtId="0" fontId="49" fillId="0" borderId="0"/>
    <xf numFmtId="0" fontId="49" fillId="0" borderId="0"/>
    <xf numFmtId="0" fontId="49" fillId="0" borderId="0"/>
    <xf numFmtId="0" fontId="50" fillId="0" borderId="0"/>
    <xf numFmtId="0" fontId="44" fillId="0" borderId="0"/>
    <xf numFmtId="0" fontId="44" fillId="0" borderId="0"/>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4" fillId="0" borderId="0"/>
    <xf numFmtId="0" fontId="44" fillId="0" borderId="0"/>
    <xf numFmtId="0" fontId="49" fillId="0" borderId="0"/>
    <xf numFmtId="0" fontId="49" fillId="0" borderId="0"/>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9" fillId="0" borderId="0"/>
    <xf numFmtId="0" fontId="49" fillId="0" borderId="0"/>
    <xf numFmtId="0" fontId="49" fillId="0" borderId="0"/>
    <xf numFmtId="0" fontId="49" fillId="0" borderId="0"/>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171"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49" fillId="0" borderId="0"/>
    <xf numFmtId="0" fontId="49" fillId="0" borderId="0"/>
    <xf numFmtId="0" fontId="44" fillId="0" borderId="0"/>
    <xf numFmtId="0" fontId="44" fillId="0" borderId="0"/>
    <xf numFmtId="0" fontId="49" fillId="0" borderId="0"/>
    <xf numFmtId="0" fontId="44" fillId="0" borderId="0"/>
    <xf numFmtId="0" fontId="44" fillId="0" borderId="0"/>
    <xf numFmtId="0" fontId="12" fillId="0" borderId="0"/>
    <xf numFmtId="0" fontId="49" fillId="0" borderId="0"/>
    <xf numFmtId="173" fontId="12" fillId="0" borderId="0" applyFont="0" applyFill="0" applyBorder="0" applyAlignment="0" applyProtection="0"/>
    <xf numFmtId="174" fontId="51" fillId="0" borderId="2">
      <protection locked="0"/>
    </xf>
    <xf numFmtId="175" fontId="51" fillId="0" borderId="0">
      <protection locked="0"/>
    </xf>
    <xf numFmtId="176" fontId="51" fillId="0" borderId="0">
      <protection locked="0"/>
    </xf>
    <xf numFmtId="175" fontId="51" fillId="0" borderId="0">
      <protection locked="0"/>
    </xf>
    <xf numFmtId="176" fontId="51" fillId="0" borderId="0">
      <protection locked="0"/>
    </xf>
    <xf numFmtId="177" fontId="51" fillId="0" borderId="0">
      <protection locked="0"/>
    </xf>
    <xf numFmtId="174" fontId="52" fillId="0" borderId="0">
      <protection locked="0"/>
    </xf>
    <xf numFmtId="174" fontId="52" fillId="0" borderId="0">
      <protection locked="0"/>
    </xf>
    <xf numFmtId="174" fontId="51" fillId="0" borderId="2">
      <protection locked="0"/>
    </xf>
    <xf numFmtId="0" fontId="53" fillId="5" borderId="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54" fillId="0" borderId="0" applyNumberFormat="0" applyFill="0" applyBorder="0" applyAlignment="0" applyProtection="0">
      <alignment vertical="top"/>
      <protection locked="0"/>
    </xf>
    <xf numFmtId="0" fontId="50" fillId="0" borderId="0"/>
    <xf numFmtId="178" fontId="55" fillId="0" borderId="3">
      <protection locked="0"/>
    </xf>
    <xf numFmtId="179" fontId="12" fillId="0" borderId="0" applyFont="0" applyFill="0" applyBorder="0" applyAlignment="0" applyProtection="0"/>
    <xf numFmtId="180" fontId="12" fillId="0" borderId="0" applyFont="0" applyFill="0" applyBorder="0" applyAlignment="0" applyProtection="0"/>
    <xf numFmtId="0" fontId="56" fillId="7" borderId="0" applyNumberFormat="0" applyBorder="0" applyAlignment="0" applyProtection="0"/>
    <xf numFmtId="10" fontId="57" fillId="0" borderId="0" applyNumberFormat="0" applyFill="0" applyBorder="0" applyAlignment="0"/>
    <xf numFmtId="0" fontId="58" fillId="0" borderId="0"/>
    <xf numFmtId="0" fontId="59" fillId="24" borderId="4" applyNumberFormat="0" applyAlignment="0" applyProtection="0"/>
    <xf numFmtId="0" fontId="60" fillId="25" borderId="5" applyNumberFormat="0" applyAlignment="0" applyProtection="0"/>
    <xf numFmtId="0" fontId="61" fillId="0" borderId="6">
      <alignment horizontal="left" vertical="center"/>
    </xf>
    <xf numFmtId="41" fontId="36" fillId="0" borderId="0" applyFont="0" applyFill="0" applyBorder="0" applyAlignment="0" applyProtection="0"/>
    <xf numFmtId="0" fontId="62" fillId="0" borderId="0" applyFont="0" applyFill="0" applyBorder="0" applyAlignment="0" applyProtection="0">
      <alignment horizontal="right"/>
    </xf>
    <xf numFmtId="0" fontId="62" fillId="0" borderId="0" applyFont="0" applyFill="0" applyBorder="0" applyAlignment="0" applyProtection="0"/>
    <xf numFmtId="0" fontId="62" fillId="0" borderId="0" applyFont="0" applyFill="0" applyBorder="0" applyAlignment="0" applyProtection="0">
      <alignment horizontal="right"/>
    </xf>
    <xf numFmtId="0" fontId="62" fillId="0" borderId="0" applyFont="0" applyFill="0" applyBorder="0" applyAlignment="0" applyProtection="0"/>
    <xf numFmtId="43" fontId="36" fillId="0" borderId="0" applyFont="0" applyFill="0" applyBorder="0" applyAlignment="0" applyProtection="0"/>
    <xf numFmtId="3" fontId="63" fillId="0" borderId="0" applyFont="0" applyFill="0" applyBorder="0" applyAlignment="0" applyProtection="0"/>
    <xf numFmtId="178" fontId="64" fillId="26" borderId="3"/>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181" fontId="53" fillId="0" borderId="0" applyFont="0" applyFill="0" applyBorder="0" applyAlignment="0" applyProtection="0"/>
    <xf numFmtId="0" fontId="62" fillId="0" borderId="0" applyFont="0" applyFill="0" applyBorder="0" applyAlignment="0" applyProtection="0">
      <alignment horizontal="right"/>
    </xf>
    <xf numFmtId="0" fontId="62" fillId="0" borderId="0" applyFont="0" applyFill="0" applyBorder="0" applyAlignment="0" applyProtection="0">
      <alignment horizontal="right"/>
    </xf>
    <xf numFmtId="44" fontId="12" fillId="0" borderId="0" applyFont="0" applyFill="0" applyBorder="0" applyAlignment="0" applyProtection="0"/>
    <xf numFmtId="182" fontId="63" fillId="0" borderId="0" applyFont="0" applyFill="0" applyBorder="0" applyAlignment="0" applyProtection="0"/>
    <xf numFmtId="0" fontId="62" fillId="0" borderId="0" applyFill="0" applyBorder="0" applyProtection="0">
      <alignment vertical="center"/>
    </xf>
    <xf numFmtId="0" fontId="63" fillId="0" borderId="0" applyFont="0" applyFill="0" applyBorder="0" applyAlignment="0" applyProtection="0"/>
    <xf numFmtId="0" fontId="62" fillId="0" borderId="0" applyFont="0" applyFill="0" applyBorder="0" applyAlignment="0" applyProtection="0"/>
    <xf numFmtId="14" fontId="65" fillId="0" borderId="0">
      <alignment vertical="top"/>
    </xf>
    <xf numFmtId="183" fontId="12" fillId="0" borderId="0" applyFont="0" applyFill="0" applyBorder="0" applyAlignment="0" applyProtection="0"/>
    <xf numFmtId="184" fontId="12" fillId="0" borderId="0" applyFont="0" applyFill="0" applyBorder="0" applyAlignment="0" applyProtection="0"/>
    <xf numFmtId="0" fontId="62" fillId="0" borderId="7" applyNumberFormat="0" applyFont="0" applyFill="0" applyAlignment="0" applyProtection="0"/>
    <xf numFmtId="0" fontId="66" fillId="0" borderId="0" applyNumberFormat="0" applyFill="0" applyBorder="0" applyAlignment="0" applyProtection="0"/>
    <xf numFmtId="171" fontId="67" fillId="0" borderId="0">
      <alignment vertical="top"/>
    </xf>
    <xf numFmtId="38" fontId="67" fillId="0" borderId="0">
      <alignment vertical="top"/>
    </xf>
    <xf numFmtId="38" fontId="67" fillId="0" borderId="0">
      <alignment vertical="top"/>
    </xf>
    <xf numFmtId="185" fontId="65" fillId="0" borderId="0" applyFont="0" applyFill="0" applyBorder="0" applyAlignment="0" applyProtection="0"/>
    <xf numFmtId="37" fontId="36" fillId="0" borderId="0"/>
    <xf numFmtId="0" fontId="68" fillId="0" borderId="0" applyNumberFormat="0" applyFill="0" applyBorder="0" applyAlignment="0" applyProtection="0"/>
    <xf numFmtId="165" fontId="69" fillId="0" borderId="0" applyFill="0" applyBorder="0" applyAlignment="0" applyProtection="0"/>
    <xf numFmtId="165" fontId="45" fillId="0" borderId="0" applyFill="0" applyBorder="0" applyAlignment="0" applyProtection="0"/>
    <xf numFmtId="165" fontId="70" fillId="0" borderId="0" applyFill="0" applyBorder="0" applyAlignment="0" applyProtection="0"/>
    <xf numFmtId="165" fontId="71" fillId="0" borderId="0" applyFill="0" applyBorder="0" applyAlignment="0" applyProtection="0"/>
    <xf numFmtId="165" fontId="72" fillId="0" borderId="0" applyFill="0" applyBorder="0" applyAlignment="0" applyProtection="0"/>
    <xf numFmtId="165" fontId="73" fillId="0" borderId="0" applyFill="0" applyBorder="0" applyAlignment="0" applyProtection="0"/>
    <xf numFmtId="165" fontId="74" fillId="0" borderId="0" applyFill="0" applyBorder="0" applyAlignment="0" applyProtection="0"/>
    <xf numFmtId="2" fontId="63" fillId="0" borderId="0" applyFont="0" applyFill="0" applyBorder="0" applyAlignment="0" applyProtection="0"/>
    <xf numFmtId="0" fontId="75" fillId="0" borderId="0">
      <alignment vertical="center"/>
    </xf>
    <xf numFmtId="0" fontId="76" fillId="0" borderId="0" applyNumberFormat="0" applyFill="0" applyBorder="0" applyAlignment="0" applyProtection="0">
      <alignment vertical="top"/>
      <protection locked="0"/>
    </xf>
    <xf numFmtId="0" fontId="77" fillId="0" borderId="0" applyFill="0" applyBorder="0" applyProtection="0">
      <alignment horizontal="left"/>
    </xf>
    <xf numFmtId="0" fontId="78" fillId="8" borderId="0" applyNumberFormat="0" applyBorder="0" applyAlignment="0" applyProtection="0"/>
    <xf numFmtId="169" fontId="79" fillId="3" borderId="6" applyNumberFormat="0" applyFont="0" applyBorder="0" applyAlignment="0" applyProtection="0"/>
    <xf numFmtId="0" fontId="62" fillId="0" borderId="0" applyFont="0" applyFill="0" applyBorder="0" applyAlignment="0" applyProtection="0">
      <alignment horizontal="right"/>
    </xf>
    <xf numFmtId="186" fontId="80" fillId="3" borderId="0" applyNumberFormat="0" applyFont="0" applyAlignment="0"/>
    <xf numFmtId="0" fontId="81" fillId="0" borderId="0" applyProtection="0">
      <alignment horizontal="right"/>
    </xf>
    <xf numFmtId="0" fontId="82" fillId="0" borderId="0">
      <alignment vertical="top"/>
    </xf>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2" fontId="86" fillId="27" borderId="0" applyAlignment="0">
      <alignment horizontal="right"/>
      <protection locked="0"/>
    </xf>
    <xf numFmtId="171" fontId="87" fillId="0" borderId="0">
      <alignment vertical="top"/>
    </xf>
    <xf numFmtId="38" fontId="87" fillId="0" borderId="0">
      <alignment vertical="top"/>
    </xf>
    <xf numFmtId="38" fontId="87" fillId="0" borderId="0">
      <alignment vertical="top"/>
    </xf>
    <xf numFmtId="0" fontId="88" fillId="0" borderId="0" applyNumberFormat="0" applyFill="0" applyBorder="0" applyAlignment="0" applyProtection="0">
      <alignment vertical="top"/>
      <protection locked="0"/>
    </xf>
    <xf numFmtId="178" fontId="89" fillId="0" borderId="0"/>
    <xf numFmtId="0" fontId="36" fillId="0" borderId="0"/>
    <xf numFmtId="0" fontId="90" fillId="0" borderId="0" applyNumberFormat="0" applyFill="0" applyBorder="0" applyAlignment="0" applyProtection="0">
      <alignment vertical="top"/>
      <protection locked="0"/>
    </xf>
    <xf numFmtId="187" fontId="91" fillId="0" borderId="6">
      <alignment horizontal="center" vertical="center" wrapText="1"/>
    </xf>
    <xf numFmtId="0" fontId="92" fillId="11" borderId="4" applyNumberFormat="0" applyAlignment="0" applyProtection="0"/>
    <xf numFmtId="0" fontId="93" fillId="0" borderId="0" applyFill="0" applyBorder="0" applyProtection="0">
      <alignment vertical="center"/>
    </xf>
    <xf numFmtId="0" fontId="93" fillId="0" borderId="0" applyFill="0" applyBorder="0" applyProtection="0">
      <alignment vertical="center"/>
    </xf>
    <xf numFmtId="0" fontId="93" fillId="0" borderId="0" applyFill="0" applyBorder="0" applyProtection="0">
      <alignment vertical="center"/>
    </xf>
    <xf numFmtId="0" fontId="93" fillId="0" borderId="0" applyFill="0" applyBorder="0" applyProtection="0">
      <alignment vertical="center"/>
    </xf>
    <xf numFmtId="171" fontId="46" fillId="0" borderId="0">
      <alignment vertical="top"/>
    </xf>
    <xf numFmtId="171" fontId="46" fillId="2" borderId="0">
      <alignment vertical="top"/>
    </xf>
    <xf numFmtId="38" fontId="46" fillId="2" borderId="0">
      <alignment vertical="top"/>
    </xf>
    <xf numFmtId="38" fontId="46" fillId="2" borderId="0">
      <alignment vertical="top"/>
    </xf>
    <xf numFmtId="38" fontId="46" fillId="0" borderId="0">
      <alignment vertical="top"/>
    </xf>
    <xf numFmtId="188" fontId="46" fillId="3" borderId="0">
      <alignment vertical="top"/>
    </xf>
    <xf numFmtId="38" fontId="46" fillId="0" borderId="0">
      <alignment vertical="top"/>
    </xf>
    <xf numFmtId="0" fontId="94" fillId="0" borderId="11" applyNumberFormat="0" applyFill="0" applyAlignment="0" applyProtection="0"/>
    <xf numFmtId="189" fontId="95" fillId="0" borderId="0" applyFont="0" applyFill="0" applyBorder="0" applyAlignment="0" applyProtection="0"/>
    <xf numFmtId="190" fontId="95" fillId="0" borderId="0" applyFont="0" applyFill="0" applyBorder="0" applyAlignment="0" applyProtection="0"/>
    <xf numFmtId="189" fontId="95" fillId="0" borderId="0" applyFont="0" applyFill="0" applyBorder="0" applyAlignment="0" applyProtection="0"/>
    <xf numFmtId="190" fontId="95" fillId="0" borderId="0" applyFont="0" applyFill="0" applyBorder="0" applyAlignment="0" applyProtection="0"/>
    <xf numFmtId="191" fontId="96" fillId="0" borderId="6">
      <alignment horizontal="right"/>
      <protection locked="0"/>
    </xf>
    <xf numFmtId="192" fontId="95" fillId="0" borderId="0" applyFont="0" applyFill="0" applyBorder="0" applyAlignment="0" applyProtection="0"/>
    <xf numFmtId="193" fontId="95" fillId="0" borderId="0" applyFont="0" applyFill="0" applyBorder="0" applyAlignment="0" applyProtection="0"/>
    <xf numFmtId="192" fontId="95" fillId="0" borderId="0" applyFont="0" applyFill="0" applyBorder="0" applyAlignment="0" applyProtection="0"/>
    <xf numFmtId="193" fontId="95" fillId="0" borderId="0" applyFont="0" applyFill="0" applyBorder="0" applyAlignment="0" applyProtection="0"/>
    <xf numFmtId="0" fontId="62" fillId="0" borderId="0" applyFont="0" applyFill="0" applyBorder="0" applyAlignment="0" applyProtection="0">
      <alignment horizontal="right"/>
    </xf>
    <xf numFmtId="0" fontId="62" fillId="0" borderId="0" applyFill="0" applyBorder="0" applyProtection="0">
      <alignment vertical="center"/>
    </xf>
    <xf numFmtId="0" fontId="62" fillId="0" borderId="0" applyFont="0" applyFill="0" applyBorder="0" applyAlignment="0" applyProtection="0">
      <alignment horizontal="right"/>
    </xf>
    <xf numFmtId="3" fontId="12" fillId="0" borderId="12" applyFont="0" applyBorder="0">
      <alignment horizontal="center" vertical="center"/>
    </xf>
    <xf numFmtId="0" fontId="97" fillId="28" borderId="0" applyNumberFormat="0" applyBorder="0" applyAlignment="0" applyProtection="0"/>
    <xf numFmtId="0" fontId="53" fillId="0" borderId="13"/>
    <xf numFmtId="0" fontId="37" fillId="0" borderId="0" applyNumberFormat="0" applyFill="0" applyBorder="0" applyAlignment="0" applyProtection="0"/>
    <xf numFmtId="194" fontId="12" fillId="0" borderId="0"/>
    <xf numFmtId="0" fontId="37" fillId="0" borderId="0" applyNumberFormat="0" applyFill="0" applyBorder="0" applyAlignment="0" applyProtection="0"/>
    <xf numFmtId="0" fontId="12" fillId="0" borderId="0"/>
    <xf numFmtId="0" fontId="12" fillId="0" borderId="0"/>
    <xf numFmtId="0" fontId="1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8" fillId="0" borderId="0">
      <alignment horizontal="right"/>
    </xf>
    <xf numFmtId="0" fontId="12" fillId="0" borderId="0"/>
    <xf numFmtId="0" fontId="99" fillId="0" borderId="0"/>
    <xf numFmtId="0" fontId="62" fillId="0" borderId="0" applyFill="0" applyBorder="0" applyProtection="0">
      <alignment vertical="center"/>
    </xf>
    <xf numFmtId="0" fontId="100" fillId="0" borderId="0"/>
    <xf numFmtId="0" fontId="36" fillId="0" borderId="0"/>
    <xf numFmtId="0" fontId="44" fillId="0" borderId="0"/>
    <xf numFmtId="0" fontId="101" fillId="29" borderId="14" applyNumberFormat="0" applyFont="0" applyAlignment="0" applyProtection="0"/>
    <xf numFmtId="195" fontId="12" fillId="0" borderId="0" applyFont="0" applyAlignment="0">
      <alignment horizontal="center"/>
    </xf>
    <xf numFmtId="196" fontId="12" fillId="0" borderId="0" applyFont="0" applyFill="0" applyBorder="0" applyAlignment="0" applyProtection="0"/>
    <xf numFmtId="197" fontId="12" fillId="0" borderId="0" applyFont="0" applyFill="0" applyBorder="0" applyAlignment="0" applyProtection="0"/>
    <xf numFmtId="0" fontId="79" fillId="0" borderId="0"/>
    <xf numFmtId="198" fontId="79" fillId="0" borderId="0" applyFont="0" applyFill="0" applyBorder="0" applyAlignment="0" applyProtection="0"/>
    <xf numFmtId="199" fontId="79" fillId="0" borderId="0" applyFont="0" applyFill="0" applyBorder="0" applyAlignment="0" applyProtection="0"/>
    <xf numFmtId="0" fontId="102" fillId="24" borderId="15" applyNumberFormat="0" applyAlignment="0" applyProtection="0"/>
    <xf numFmtId="1" fontId="103" fillId="0" borderId="0" applyProtection="0">
      <alignment horizontal="right" vertical="center"/>
    </xf>
    <xf numFmtId="49" fontId="104" fillId="0" borderId="16" applyFill="0" applyProtection="0">
      <alignment vertical="center"/>
    </xf>
    <xf numFmtId="9" fontId="36" fillId="0" borderId="0" applyFont="0" applyFill="0" applyBorder="0" applyAlignment="0" applyProtection="0"/>
    <xf numFmtId="0" fontId="62" fillId="0" borderId="0" applyFill="0" applyBorder="0" applyProtection="0">
      <alignment vertical="center"/>
    </xf>
    <xf numFmtId="37" fontId="105" fillId="4" borderId="17"/>
    <xf numFmtId="37" fontId="105" fillId="4" borderId="17"/>
    <xf numFmtId="0" fontId="106" fillId="0" borderId="0" applyNumberFormat="0">
      <alignment horizontal="left"/>
    </xf>
    <xf numFmtId="200" fontId="107" fillId="0" borderId="18" applyBorder="0">
      <alignment horizontal="right"/>
      <protection locked="0"/>
    </xf>
    <xf numFmtId="49" fontId="108" fillId="0" borderId="6" applyNumberFormat="0">
      <alignment horizontal="left" vertical="center"/>
    </xf>
    <xf numFmtId="0" fontId="109" fillId="0" borderId="19">
      <alignment vertical="center"/>
    </xf>
    <xf numFmtId="4" fontId="110" fillId="4" borderId="15" applyNumberFormat="0" applyProtection="0">
      <alignment vertical="center"/>
    </xf>
    <xf numFmtId="4" fontId="111" fillId="4" borderId="15" applyNumberFormat="0" applyProtection="0">
      <alignment vertical="center"/>
    </xf>
    <xf numFmtId="4" fontId="110" fillId="4" borderId="15" applyNumberFormat="0" applyProtection="0">
      <alignment horizontal="left" vertical="center" indent="1"/>
    </xf>
    <xf numFmtId="4" fontId="110" fillId="4" borderId="15" applyNumberFormat="0" applyProtection="0">
      <alignment horizontal="left" vertical="center" indent="1"/>
    </xf>
    <xf numFmtId="0" fontId="36" fillId="30" borderId="15" applyNumberFormat="0" applyProtection="0">
      <alignment horizontal="left" vertical="center" indent="1"/>
    </xf>
    <xf numFmtId="4" fontId="110" fillId="31" borderId="15" applyNumberFormat="0" applyProtection="0">
      <alignment horizontal="right" vertical="center"/>
    </xf>
    <xf numFmtId="4" fontId="110" fillId="32" borderId="15" applyNumberFormat="0" applyProtection="0">
      <alignment horizontal="right" vertical="center"/>
    </xf>
    <xf numFmtId="4" fontId="110" fillId="33" borderId="15" applyNumberFormat="0" applyProtection="0">
      <alignment horizontal="right" vertical="center"/>
    </xf>
    <xf numFmtId="4" fontId="110" fillId="34" borderId="15" applyNumberFormat="0" applyProtection="0">
      <alignment horizontal="right" vertical="center"/>
    </xf>
    <xf numFmtId="4" fontId="110" fillId="35" borderId="15" applyNumberFormat="0" applyProtection="0">
      <alignment horizontal="right" vertical="center"/>
    </xf>
    <xf numFmtId="4" fontId="110" fillId="36" borderId="15" applyNumberFormat="0" applyProtection="0">
      <alignment horizontal="right" vertical="center"/>
    </xf>
    <xf numFmtId="4" fontId="110" fillId="37" borderId="15" applyNumberFormat="0" applyProtection="0">
      <alignment horizontal="right" vertical="center"/>
    </xf>
    <xf numFmtId="4" fontId="110" fillId="38" borderId="15" applyNumberFormat="0" applyProtection="0">
      <alignment horizontal="right" vertical="center"/>
    </xf>
    <xf numFmtId="4" fontId="110" fillId="39" borderId="15" applyNumberFormat="0" applyProtection="0">
      <alignment horizontal="right" vertical="center"/>
    </xf>
    <xf numFmtId="4" fontId="112" fillId="40" borderId="15" applyNumberFormat="0" applyProtection="0">
      <alignment horizontal="left" vertical="center" indent="1"/>
    </xf>
    <xf numFmtId="4" fontId="110" fillId="41" borderId="20" applyNumberFormat="0" applyProtection="0">
      <alignment horizontal="left" vertical="center" indent="1"/>
    </xf>
    <xf numFmtId="4" fontId="113" fillId="42" borderId="0" applyNumberFormat="0" applyProtection="0">
      <alignment horizontal="left" vertical="center" indent="1"/>
    </xf>
    <xf numFmtId="0" fontId="36" fillId="30" borderId="15" applyNumberFormat="0" applyProtection="0">
      <alignment horizontal="left" vertical="center" indent="1"/>
    </xf>
    <xf numFmtId="4" fontId="114" fillId="41" borderId="15" applyNumberFormat="0" applyProtection="0">
      <alignment horizontal="left" vertical="center" indent="1"/>
    </xf>
    <xf numFmtId="4" fontId="114" fillId="43" borderId="15" applyNumberFormat="0" applyProtection="0">
      <alignment horizontal="left" vertical="center" indent="1"/>
    </xf>
    <xf numFmtId="0" fontId="36" fillId="43" borderId="15" applyNumberFormat="0" applyProtection="0">
      <alignment horizontal="left" vertical="center" indent="1"/>
    </xf>
    <xf numFmtId="0" fontId="36" fillId="43" borderId="15" applyNumberFormat="0" applyProtection="0">
      <alignment horizontal="left" vertical="center" indent="1"/>
    </xf>
    <xf numFmtId="0" fontId="36" fillId="44" borderId="15" applyNumberFormat="0" applyProtection="0">
      <alignment horizontal="left" vertical="center" indent="1"/>
    </xf>
    <xf numFmtId="0" fontId="36" fillId="44" borderId="15" applyNumberFormat="0" applyProtection="0">
      <alignment horizontal="left" vertical="center" indent="1"/>
    </xf>
    <xf numFmtId="0" fontId="36" fillId="2" borderId="15" applyNumberFormat="0" applyProtection="0">
      <alignment horizontal="left" vertical="center" indent="1"/>
    </xf>
    <xf numFmtId="0" fontId="36" fillId="2" borderId="15" applyNumberFormat="0" applyProtection="0">
      <alignment horizontal="left" vertical="center" indent="1"/>
    </xf>
    <xf numFmtId="0" fontId="36" fillId="30" borderId="15" applyNumberFormat="0" applyProtection="0">
      <alignment horizontal="left" vertical="center" indent="1"/>
    </xf>
    <xf numFmtId="0" fontId="36" fillId="30" borderId="15" applyNumberFormat="0" applyProtection="0">
      <alignment horizontal="left" vertical="center" indent="1"/>
    </xf>
    <xf numFmtId="0" fontId="12" fillId="0" borderId="0"/>
    <xf numFmtId="4" fontId="110" fillId="45" borderId="15" applyNumberFormat="0" applyProtection="0">
      <alignment vertical="center"/>
    </xf>
    <xf numFmtId="4" fontId="111" fillId="45" borderId="15" applyNumberFormat="0" applyProtection="0">
      <alignment vertical="center"/>
    </xf>
    <xf numFmtId="4" fontId="110" fillId="45" borderId="15" applyNumberFormat="0" applyProtection="0">
      <alignment horizontal="left" vertical="center" indent="1"/>
    </xf>
    <xf numFmtId="4" fontId="110" fillId="45" borderId="15" applyNumberFormat="0" applyProtection="0">
      <alignment horizontal="left" vertical="center" indent="1"/>
    </xf>
    <xf numFmtId="4" fontId="110" fillId="41" borderId="15" applyNumberFormat="0" applyProtection="0">
      <alignment horizontal="right" vertical="center"/>
    </xf>
    <xf numFmtId="4" fontId="111" fillId="41" borderId="15" applyNumberFormat="0" applyProtection="0">
      <alignment horizontal="right" vertical="center"/>
    </xf>
    <xf numFmtId="0" fontId="36" fillId="30" borderId="15" applyNumberFormat="0" applyProtection="0">
      <alignment horizontal="left" vertical="center" indent="1"/>
    </xf>
    <xf numFmtId="0" fontId="36" fillId="30" borderId="15" applyNumberFormat="0" applyProtection="0">
      <alignment horizontal="left" vertical="center" indent="1"/>
    </xf>
    <xf numFmtId="0" fontId="115" fillId="0" borderId="0"/>
    <xf numFmtId="4" fontId="116" fillId="41" borderId="15" applyNumberFormat="0" applyProtection="0">
      <alignment horizontal="right" vertical="center"/>
    </xf>
    <xf numFmtId="0" fontId="117" fillId="0" borderId="0">
      <alignment horizontal="left" vertical="center" wrapText="1"/>
    </xf>
    <xf numFmtId="0" fontId="36" fillId="0" borderId="0"/>
    <xf numFmtId="0" fontId="44" fillId="0" borderId="0"/>
    <xf numFmtId="0" fontId="118" fillId="0" borderId="0" applyBorder="0" applyProtection="0">
      <alignment vertical="center"/>
    </xf>
    <xf numFmtId="0" fontId="118" fillId="0" borderId="16" applyBorder="0" applyProtection="0">
      <alignment horizontal="right" vertical="center"/>
    </xf>
    <xf numFmtId="0" fontId="119" fillId="46" borderId="0" applyBorder="0" applyProtection="0">
      <alignment horizontal="centerContinuous" vertical="center"/>
    </xf>
    <xf numFmtId="0" fontId="119" fillId="47" borderId="16" applyBorder="0" applyProtection="0">
      <alignment horizontal="centerContinuous" vertical="center"/>
    </xf>
    <xf numFmtId="0" fontId="120" fillId="0" borderId="0"/>
    <xf numFmtId="171" fontId="121" fillId="48" borderId="0">
      <alignment horizontal="right" vertical="top"/>
    </xf>
    <xf numFmtId="38" fontId="121" fillId="48" borderId="0">
      <alignment horizontal="right" vertical="top"/>
    </xf>
    <xf numFmtId="38" fontId="121" fillId="48" borderId="0">
      <alignment horizontal="right" vertical="top"/>
    </xf>
    <xf numFmtId="0" fontId="100" fillId="0" borderId="0"/>
    <xf numFmtId="0" fontId="122" fillId="0" borderId="0" applyFill="0" applyBorder="0" applyProtection="0">
      <alignment horizontal="left"/>
    </xf>
    <xf numFmtId="0" fontId="77" fillId="0" borderId="21" applyFill="0" applyBorder="0" applyProtection="0">
      <alignment horizontal="left" vertical="top"/>
    </xf>
    <xf numFmtId="0" fontId="123" fillId="0" borderId="0">
      <alignment horizontal="centerContinuous"/>
    </xf>
    <xf numFmtId="0" fontId="124" fillId="0" borderId="21" applyFill="0" applyBorder="0" applyProtection="0"/>
    <xf numFmtId="0" fontId="124" fillId="0" borderId="0"/>
    <xf numFmtId="0" fontId="125" fillId="0" borderId="0" applyFill="0" applyBorder="0" applyProtection="0"/>
    <xf numFmtId="0" fontId="126" fillId="0" borderId="0"/>
    <xf numFmtId="0" fontId="127" fillId="0" borderId="0" applyNumberFormat="0" applyFill="0" applyBorder="0" applyAlignment="0" applyProtection="0"/>
    <xf numFmtId="0" fontId="1" fillId="0" borderId="22" applyNumberFormat="0" applyFill="0" applyAlignment="0" applyProtection="0"/>
    <xf numFmtId="0" fontId="128" fillId="0" borderId="7" applyFill="0" applyBorder="0" applyProtection="0">
      <alignment vertical="center"/>
    </xf>
    <xf numFmtId="0" fontId="129" fillId="0" borderId="0">
      <alignment horizontal="fill"/>
    </xf>
    <xf numFmtId="0" fontId="79" fillId="0" borderId="0"/>
    <xf numFmtId="0" fontId="130" fillId="0" borderId="0" applyNumberFormat="0" applyFill="0" applyBorder="0" applyAlignment="0" applyProtection="0"/>
    <xf numFmtId="0" fontId="131" fillId="0" borderId="16" applyBorder="0" applyProtection="0">
      <alignment horizontal="right"/>
    </xf>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178" fontId="55" fillId="0" borderId="3">
      <protection locked="0"/>
    </xf>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0" fontId="92" fillId="11" borderId="4" applyNumberFormat="0" applyAlignment="0" applyProtection="0"/>
    <xf numFmtId="3" fontId="132" fillId="0" borderId="0">
      <alignment horizontal="center" vertical="center" textRotation="90" wrapText="1"/>
    </xf>
    <xf numFmtId="201" fontId="55" fillId="0" borderId="6">
      <alignment vertical="top" wrapText="1"/>
    </xf>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102" fillId="24" borderId="15"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59" fillId="24" borderId="4" applyNumberFormat="0" applyAlignment="0" applyProtection="0"/>
    <xf numFmtId="0" fontId="25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202" fontId="134" fillId="0" borderId="6">
      <alignment vertical="top" wrapText="1"/>
    </xf>
    <xf numFmtId="4" fontId="135" fillId="0" borderId="6">
      <alignment horizontal="left" vertical="center"/>
    </xf>
    <xf numFmtId="4" fontId="135" fillId="0" borderId="6"/>
    <xf numFmtId="4" fontId="135" fillId="49" borderId="6"/>
    <xf numFmtId="4" fontId="135" fillId="50" borderId="6"/>
    <xf numFmtId="4" fontId="136" fillId="51" borderId="6"/>
    <xf numFmtId="4" fontId="137" fillId="2" borderId="6"/>
    <xf numFmtId="4" fontId="138" fillId="0" borderId="6">
      <alignment horizontal="center" wrapText="1"/>
    </xf>
    <xf numFmtId="202" fontId="135" fillId="0" borderId="6"/>
    <xf numFmtId="202" fontId="134" fillId="0" borderId="6">
      <alignment horizontal="center" vertical="center" wrapText="1"/>
    </xf>
    <xf numFmtId="202" fontId="134" fillId="0" borderId="6">
      <alignment vertical="top" wrapText="1"/>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139" fillId="0" borderId="0" applyBorder="0">
      <alignment horizontal="center" vertical="center" wrapText="1"/>
    </xf>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0" borderId="23" applyBorder="0">
      <alignment horizontal="center" vertical="center" wrapText="1"/>
    </xf>
    <xf numFmtId="178" fontId="64" fillId="26" borderId="3"/>
    <xf numFmtId="4" fontId="101" fillId="4" borderId="6" applyBorder="0">
      <alignment horizontal="right"/>
    </xf>
    <xf numFmtId="49" fontId="143" fillId="0" borderId="0" applyBorder="0">
      <alignment vertical="center"/>
    </xf>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3" fontId="64" fillId="0" borderId="6" applyBorder="0">
      <alignment vertical="center"/>
    </xf>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60" fillId="25" borderId="5" applyNumberFormat="0" applyAlignment="0" applyProtection="0"/>
    <xf numFmtId="0" fontId="12" fillId="0" borderId="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37" fillId="3" borderId="0" applyFill="0">
      <alignment wrapText="1"/>
    </xf>
    <xf numFmtId="0" fontId="141" fillId="0" borderId="0">
      <alignment horizontal="center" vertical="top" wrapText="1"/>
    </xf>
    <xf numFmtId="0" fontId="144" fillId="0" borderId="0">
      <alignment horizontal="centerContinuous" vertical="center" wrapText="1"/>
    </xf>
    <xf numFmtId="166" fontId="145" fillId="3" borderId="6">
      <alignment wrapText="1"/>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7" fontId="146" fillId="0" borderId="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49" fontId="132" fillId="0" borderId="6">
      <alignment horizontal="right" vertical="top" wrapText="1"/>
    </xf>
    <xf numFmtId="165" fontId="13" fillId="0" borderId="0">
      <alignment horizontal="right" vertical="top" wrapText="1"/>
    </xf>
    <xf numFmtId="49" fontId="101" fillId="0" borderId="0" applyBorder="0">
      <alignment vertical="top"/>
    </xf>
    <xf numFmtId="0" fontId="34" fillId="0" borderId="0"/>
    <xf numFmtId="0" fontId="36"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49" fontId="101" fillId="0" borderId="0" applyBorder="0">
      <alignment vertical="top"/>
    </xf>
    <xf numFmtId="0" fontId="12" fillId="0" borderId="0"/>
    <xf numFmtId="0" fontId="34" fillId="0" borderId="0"/>
    <xf numFmtId="0" fontId="34" fillId="0" borderId="0"/>
    <xf numFmtId="0" fontId="12" fillId="0" borderId="0"/>
    <xf numFmtId="49" fontId="101" fillId="0" borderId="0" applyBorder="0">
      <alignment vertical="top"/>
    </xf>
    <xf numFmtId="49" fontId="101" fillId="0" borderId="0" applyBorder="0">
      <alignment vertical="top"/>
    </xf>
    <xf numFmtId="49" fontId="101" fillId="0" borderId="0" applyBorder="0">
      <alignment vertical="top"/>
    </xf>
    <xf numFmtId="49" fontId="101" fillId="0" borderId="0" applyBorder="0">
      <alignment vertical="top"/>
    </xf>
    <xf numFmtId="49" fontId="101" fillId="0" borderId="0" applyBorder="0">
      <alignment vertical="top"/>
    </xf>
    <xf numFmtId="0" fontId="12" fillId="0" borderId="0"/>
    <xf numFmtId="0" fontId="12" fillId="0" borderId="0"/>
    <xf numFmtId="0" fontId="36" fillId="0" borderId="0"/>
    <xf numFmtId="0" fontId="12" fillId="0" borderId="0"/>
    <xf numFmtId="0" fontId="12" fillId="0" borderId="0"/>
    <xf numFmtId="0" fontId="12" fillId="0" borderId="0"/>
    <xf numFmtId="0" fontId="12" fillId="0" borderId="0"/>
    <xf numFmtId="0" fontId="45" fillId="0" borderId="0">
      <alignment horizontal="left"/>
    </xf>
    <xf numFmtId="0" fontId="12" fillId="0" borderId="0"/>
    <xf numFmtId="0" fontId="34" fillId="0" borderId="0"/>
    <xf numFmtId="0" fontId="12" fillId="0" borderId="0"/>
    <xf numFmtId="0" fontId="36" fillId="0" borderId="0"/>
    <xf numFmtId="1" fontId="147" fillId="0" borderId="6">
      <alignment horizontal="left" vertical="center"/>
    </xf>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12" fillId="0" borderId="0" applyFont="0" applyFill="0" applyBorder="0" applyProtection="0">
      <alignment horizontal="center" vertical="center" wrapText="1"/>
    </xf>
    <xf numFmtId="0" fontId="12" fillId="0" borderId="0" applyNumberFormat="0" applyFont="0" applyFill="0" applyBorder="0" applyProtection="0">
      <alignment horizontal="justify" vertical="center" wrapText="1"/>
    </xf>
    <xf numFmtId="202" fontId="148" fillId="0" borderId="6">
      <alignment vertical="top"/>
    </xf>
    <xf numFmtId="165" fontId="149" fillId="4" borderId="17" applyNumberFormat="0" applyBorder="0" applyAlignment="0">
      <alignment vertical="center"/>
      <protection locked="0"/>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12"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0" fontId="36" fillId="29" borderId="14" applyNumberFormat="0" applyFont="0" applyAlignment="0" applyProtection="0"/>
    <xf numFmtId="43" fontId="34" fillId="0" borderId="0" applyFont="0" applyFill="0" applyBorder="0" applyAlignment="0" applyProtection="0"/>
  </cellStyleXfs>
  <cellXfs count="1986">
    <xf numFmtId="0" fontId="0" fillId="0" borderId="0" xfId="0"/>
    <xf numFmtId="0" fontId="0" fillId="0" borderId="0" xfId="0" applyProtection="1"/>
    <xf numFmtId="0" fontId="1" fillId="0" borderId="0" xfId="0" applyFont="1" applyAlignment="1" applyProtection="1">
      <alignment horizontal="center" vertical="center"/>
    </xf>
    <xf numFmtId="0" fontId="2" fillId="39" borderId="24" xfId="0" applyFont="1" applyFill="1" applyBorder="1" applyAlignment="1" applyProtection="1">
      <alignment horizontal="center" vertical="center"/>
    </xf>
    <xf numFmtId="0" fontId="2" fillId="39" borderId="24" xfId="0" applyFont="1" applyFill="1" applyBorder="1" applyAlignment="1" applyProtection="1">
      <alignment horizontal="center" vertical="center" wrapText="1"/>
    </xf>
    <xf numFmtId="0" fontId="2" fillId="39"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5" fillId="2" borderId="24" xfId="0" applyFont="1" applyFill="1" applyBorder="1" applyAlignment="1" applyProtection="1">
      <alignment horizontal="center" vertical="center" wrapText="1"/>
    </xf>
    <xf numFmtId="0" fontId="6" fillId="0" borderId="25" xfId="1182"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5" fillId="2" borderId="27" xfId="0" applyFont="1" applyFill="1" applyBorder="1" applyAlignment="1" applyProtection="1">
      <alignment horizontal="center" vertical="center" wrapText="1"/>
    </xf>
    <xf numFmtId="0" fontId="6" fillId="0" borderId="28" xfId="1182" applyFont="1" applyFill="1" applyBorder="1" applyAlignment="1" applyProtection="1">
      <alignment horizontal="center" vertical="center"/>
    </xf>
    <xf numFmtId="0" fontId="7" fillId="2" borderId="29" xfId="0" applyFont="1" applyFill="1" applyBorder="1" applyAlignment="1" applyProtection="1">
      <alignment horizontal="left" vertical="center" wrapText="1"/>
    </xf>
    <xf numFmtId="0" fontId="5" fillId="2" borderId="29" xfId="0" applyFont="1" applyFill="1" applyBorder="1" applyAlignment="1" applyProtection="1">
      <alignment vertical="center" wrapText="1"/>
    </xf>
    <xf numFmtId="0" fontId="8" fillId="2" borderId="30" xfId="0" applyFont="1" applyFill="1" applyBorder="1" applyProtection="1"/>
    <xf numFmtId="0" fontId="8" fillId="0" borderId="6" xfId="0" applyFont="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6" fillId="0" borderId="31" xfId="1182" applyFont="1" applyBorder="1" applyAlignment="1" applyProtection="1">
      <alignment horizontal="center" vertical="center"/>
    </xf>
    <xf numFmtId="0" fontId="8" fillId="0" borderId="0" xfId="0" applyFont="1" applyBorder="1" applyAlignment="1" applyProtection="1">
      <alignment horizontal="center" vertical="center" wrapText="1"/>
    </xf>
    <xf numFmtId="0" fontId="6" fillId="0" borderId="32" xfId="1182" applyFont="1" applyBorder="1" applyAlignment="1" applyProtection="1">
      <alignment horizontal="center" vertical="center"/>
    </xf>
    <xf numFmtId="0" fontId="6" fillId="0" borderId="33" xfId="1182" applyFont="1" applyBorder="1" applyAlignment="1" applyProtection="1">
      <alignment horizontal="center" vertical="center"/>
    </xf>
    <xf numFmtId="0" fontId="8" fillId="0" borderId="3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5" fillId="2" borderId="35" xfId="0" applyFont="1" applyFill="1" applyBorder="1" applyAlignment="1" applyProtection="1">
      <alignment vertical="center" wrapText="1"/>
    </xf>
    <xf numFmtId="0" fontId="9" fillId="0" borderId="31" xfId="1182" applyFont="1" applyBorder="1" applyAlignment="1" applyProtection="1">
      <alignment horizontal="center" vertical="center"/>
    </xf>
    <xf numFmtId="0" fontId="8" fillId="0" borderId="36" xfId="0" applyFont="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6" fillId="0" borderId="38" xfId="1182" applyFont="1" applyBorder="1" applyAlignment="1" applyProtection="1">
      <alignment horizontal="center" vertical="center"/>
    </xf>
    <xf numFmtId="0" fontId="7" fillId="2" borderId="35" xfId="0" applyFont="1"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8" fillId="0" borderId="6" xfId="0" applyFont="1" applyBorder="1" applyAlignment="1" applyProtection="1">
      <alignment horizontal="left" vertical="center" wrapText="1"/>
    </xf>
    <xf numFmtId="0" fontId="8" fillId="0" borderId="36" xfId="0" applyFont="1" applyBorder="1" applyAlignment="1" applyProtection="1">
      <alignment horizontal="left" vertical="center" wrapText="1"/>
    </xf>
    <xf numFmtId="0" fontId="4" fillId="2" borderId="39" xfId="0" applyFont="1" applyFill="1" applyBorder="1" applyAlignment="1" applyProtection="1">
      <alignment horizontal="center" vertical="center"/>
    </xf>
    <xf numFmtId="0" fontId="8" fillId="2" borderId="24" xfId="0" applyFont="1" applyFill="1" applyBorder="1" applyAlignment="1" applyProtection="1">
      <alignment horizontal="center" vertical="center" wrapText="1"/>
    </xf>
    <xf numFmtId="0" fontId="6" fillId="0" borderId="25" xfId="1182" applyFont="1" applyBorder="1" applyAlignment="1" applyProtection="1">
      <alignment horizontal="center" vertical="center"/>
    </xf>
    <xf numFmtId="0" fontId="4" fillId="2" borderId="40"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0" borderId="41" xfId="1182" applyFont="1" applyBorder="1" applyAlignment="1" applyProtection="1">
      <alignment horizontal="center" vertical="center"/>
    </xf>
    <xf numFmtId="0" fontId="8" fillId="0" borderId="25" xfId="0" applyFont="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xf>
    <xf numFmtId="0" fontId="8" fillId="2" borderId="37" xfId="0" applyFont="1" applyFill="1" applyBorder="1" applyAlignment="1" applyProtection="1">
      <alignment horizontal="center" vertical="center" wrapText="1"/>
    </xf>
    <xf numFmtId="0" fontId="4" fillId="2" borderId="23" xfId="0" applyFont="1" applyFill="1" applyBorder="1" applyAlignment="1" applyProtection="1">
      <alignment vertical="center"/>
    </xf>
    <xf numFmtId="0" fontId="5" fillId="2" borderId="29" xfId="0" applyFont="1" applyFill="1" applyBorder="1" applyAlignment="1" applyProtection="1">
      <alignment horizontal="center" vertical="center"/>
    </xf>
    <xf numFmtId="0" fontId="4" fillId="2" borderId="40" xfId="0" applyFont="1" applyFill="1" applyBorder="1" applyAlignment="1" applyProtection="1">
      <alignment vertical="center"/>
    </xf>
    <xf numFmtId="0" fontId="4" fillId="2" borderId="42" xfId="0" applyFont="1" applyFill="1" applyBorder="1" applyAlignment="1" applyProtection="1">
      <alignment vertical="center"/>
    </xf>
    <xf numFmtId="0" fontId="8" fillId="2" borderId="29" xfId="0" applyFont="1" applyFill="1" applyBorder="1" applyAlignment="1" applyProtection="1">
      <alignment horizontal="center" vertical="center" wrapText="1"/>
    </xf>
    <xf numFmtId="0" fontId="8" fillId="0" borderId="6" xfId="0" applyFont="1" applyBorder="1" applyProtection="1"/>
    <xf numFmtId="0" fontId="8" fillId="0" borderId="6" xfId="0" applyFont="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8" fillId="0" borderId="34" xfId="0" applyFont="1" applyBorder="1" applyProtection="1"/>
    <xf numFmtId="0" fontId="8" fillId="0" borderId="34" xfId="0" applyFont="1" applyBorder="1" applyAlignment="1" applyProtection="1">
      <alignment horizontal="center" vertical="center"/>
    </xf>
    <xf numFmtId="0" fontId="5" fillId="2" borderId="34" xfId="0" applyFont="1" applyFill="1" applyBorder="1" applyAlignment="1" applyProtection="1">
      <alignment horizontal="center" vertical="center" wrapText="1"/>
    </xf>
    <xf numFmtId="0" fontId="8" fillId="0" borderId="29" xfId="0" applyFont="1" applyBorder="1" applyAlignment="1" applyProtection="1">
      <alignment horizontal="left" vertical="center" wrapText="1"/>
    </xf>
    <xf numFmtId="0" fontId="8" fillId="0" borderId="36" xfId="0" applyFont="1" applyBorder="1" applyAlignment="1" applyProtection="1">
      <alignment horizontal="left" vertical="center"/>
    </xf>
    <xf numFmtId="0" fontId="3" fillId="0" borderId="33" xfId="0" applyFont="1" applyBorder="1" applyAlignment="1" applyProtection="1">
      <alignment horizontal="center" vertical="center"/>
    </xf>
    <xf numFmtId="0" fontId="6" fillId="0" borderId="43" xfId="1182" applyFont="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8" fillId="0" borderId="29" xfId="0" applyFont="1" applyBorder="1" applyAlignment="1" applyProtection="1">
      <alignment wrapText="1"/>
    </xf>
    <xf numFmtId="0" fontId="8" fillId="0" borderId="29" xfId="0" applyFont="1" applyBorder="1" applyAlignment="1" applyProtection="1">
      <alignment horizontal="center" vertical="center"/>
    </xf>
    <xf numFmtId="0" fontId="0" fillId="0" borderId="46" xfId="0" applyBorder="1" applyProtection="1"/>
    <xf numFmtId="0" fontId="8" fillId="2" borderId="29" xfId="0" applyFont="1" applyFill="1" applyBorder="1" applyAlignment="1" applyProtection="1">
      <alignment horizontal="center" vertical="center"/>
    </xf>
    <xf numFmtId="0" fontId="5" fillId="2" borderId="29" xfId="0" applyFont="1" applyFill="1" applyBorder="1" applyAlignment="1" applyProtection="1">
      <alignment horizontal="center" vertical="center" wrapText="1"/>
    </xf>
    <xf numFmtId="0" fontId="253" fillId="0" borderId="47" xfId="1182" applyBorder="1" applyAlignment="1" applyProtection="1">
      <alignment horizontal="center" vertical="center"/>
    </xf>
    <xf numFmtId="0" fontId="253" fillId="0" borderId="0" xfId="1182" applyAlignment="1" applyProtection="1"/>
    <xf numFmtId="0" fontId="4" fillId="2" borderId="48" xfId="0" applyFont="1" applyFill="1" applyBorder="1" applyAlignment="1" applyProtection="1">
      <alignment horizontal="center" vertical="center"/>
    </xf>
    <xf numFmtId="0" fontId="0" fillId="0" borderId="6" xfId="0" applyBorder="1" applyProtection="1"/>
    <xf numFmtId="0" fontId="8" fillId="2" borderId="34" xfId="0" applyFont="1" applyFill="1" applyBorder="1" applyAlignment="1" applyProtection="1">
      <alignment horizontal="center" vertical="center"/>
    </xf>
    <xf numFmtId="0" fontId="6" fillId="0" borderId="49" xfId="1182" applyFont="1" applyBorder="1" applyAlignment="1" applyProtection="1">
      <alignment horizontal="center" vertical="center"/>
    </xf>
    <xf numFmtId="0" fontId="8" fillId="2" borderId="6"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37" xfId="0" applyFont="1" applyBorder="1" applyAlignment="1" applyProtection="1">
      <alignment horizontal="center" vertical="center"/>
    </xf>
    <xf numFmtId="0" fontId="8" fillId="0" borderId="51" xfId="0" applyFont="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6" fillId="0" borderId="52" xfId="1182" applyFont="1" applyBorder="1" applyAlignment="1" applyProtection="1">
      <alignment horizontal="center" vertical="center"/>
    </xf>
    <xf numFmtId="0" fontId="9" fillId="0" borderId="0" xfId="1182" applyFont="1" applyAlignment="1" applyProtection="1">
      <alignment horizontal="left" vertical="center"/>
    </xf>
    <xf numFmtId="0" fontId="0" fillId="0" borderId="0" xfId="0" applyAlignment="1">
      <alignment horizontal="right"/>
    </xf>
    <xf numFmtId="0" fontId="0" fillId="0" borderId="6" xfId="0" applyBorder="1" applyAlignment="1">
      <alignment vertical="center" wrapText="1"/>
    </xf>
    <xf numFmtId="0" fontId="0" fillId="0" borderId="6" xfId="0" applyFill="1" applyBorder="1" applyAlignment="1">
      <alignment vertical="center" wrapText="1"/>
    </xf>
    <xf numFmtId="0" fontId="0" fillId="0" borderId="0" xfId="0" applyFill="1" applyBorder="1" applyAlignment="1">
      <alignment vertical="center" wrapText="1"/>
    </xf>
    <xf numFmtId="0" fontId="13" fillId="0" borderId="0" xfId="1502" applyFont="1" applyAlignment="1">
      <alignment horizontal="center"/>
    </xf>
    <xf numFmtId="0" fontId="14" fillId="0" borderId="0" xfId="1502" applyFont="1" applyAlignment="1"/>
    <xf numFmtId="0" fontId="13" fillId="0" borderId="0" xfId="1502" applyFont="1" applyAlignment="1">
      <alignment horizontal="center" vertical="top"/>
    </xf>
    <xf numFmtId="0" fontId="13" fillId="0" borderId="0" xfId="1502" applyFont="1" applyAlignment="1"/>
    <xf numFmtId="0" fontId="14" fillId="0" borderId="0" xfId="1502" applyFont="1" applyAlignment="1">
      <alignment horizontal="center"/>
    </xf>
    <xf numFmtId="0" fontId="12" fillId="0" borderId="0" xfId="1502" applyFont="1"/>
    <xf numFmtId="0" fontId="17" fillId="0" borderId="0" xfId="1502" applyFont="1" applyBorder="1" applyAlignment="1">
      <alignment horizontal="left" vertical="center" wrapText="1"/>
    </xf>
    <xf numFmtId="0" fontId="18" fillId="0" borderId="6" xfId="1502" applyFont="1" applyBorder="1" applyAlignment="1">
      <alignment horizontal="center" vertical="center" wrapText="1"/>
    </xf>
    <xf numFmtId="0" fontId="14" fillId="0" borderId="6" xfId="1502" applyFont="1" applyBorder="1" applyAlignment="1">
      <alignment horizontal="center" vertical="center" wrapText="1"/>
    </xf>
    <xf numFmtId="0" fontId="14" fillId="0" borderId="6" xfId="1502" applyFont="1" applyBorder="1" applyAlignment="1">
      <alignment horizontal="center" vertical="top" wrapText="1"/>
    </xf>
    <xf numFmtId="0" fontId="14" fillId="0" borderId="0" xfId="1502" applyFont="1" applyBorder="1" applyAlignment="1">
      <alignment horizontal="center" vertical="top" wrapText="1"/>
    </xf>
    <xf numFmtId="0" fontId="14" fillId="0" borderId="0" xfId="1502" applyFont="1" applyBorder="1" applyAlignment="1">
      <alignment horizontal="center"/>
    </xf>
    <xf numFmtId="4" fontId="19" fillId="0" borderId="6" xfId="1502" applyNumberFormat="1" applyFont="1" applyFill="1" applyBorder="1" applyAlignment="1">
      <alignment horizontal="center" vertical="center" wrapText="1"/>
    </xf>
    <xf numFmtId="4" fontId="20" fillId="0" borderId="6" xfId="1502" applyNumberFormat="1" applyFont="1" applyBorder="1" applyAlignment="1">
      <alignment horizontal="center" vertical="center" wrapText="1"/>
    </xf>
    <xf numFmtId="164" fontId="14" fillId="0" borderId="0" xfId="1502" applyNumberFormat="1" applyFont="1" applyBorder="1" applyAlignment="1">
      <alignment horizontal="right" vertical="top" wrapText="1"/>
    </xf>
    <xf numFmtId="0" fontId="12" fillId="0" borderId="0" xfId="1502" applyFont="1" applyBorder="1" applyAlignment="1"/>
    <xf numFmtId="0" fontId="21" fillId="0" borderId="34" xfId="1502" applyFont="1" applyBorder="1" applyAlignment="1">
      <alignment horizontal="center" vertical="center" wrapText="1"/>
    </xf>
    <xf numFmtId="4" fontId="14" fillId="0" borderId="6" xfId="1502" applyNumberFormat="1" applyFont="1" applyBorder="1" applyAlignment="1">
      <alignment horizontal="center" vertical="center"/>
    </xf>
    <xf numFmtId="165" fontId="14" fillId="0" borderId="0" xfId="1502" applyNumberFormat="1" applyFont="1" applyBorder="1" applyAlignment="1">
      <alignment horizontal="center" wrapText="1"/>
    </xf>
    <xf numFmtId="0" fontId="22" fillId="0" borderId="0" xfId="1502" applyFont="1" applyBorder="1" applyAlignment="1">
      <alignment horizontal="center" vertical="center"/>
    </xf>
    <xf numFmtId="4" fontId="14" fillId="0" borderId="6" xfId="1502" applyNumberFormat="1" applyFont="1" applyBorder="1" applyAlignment="1">
      <alignment horizontal="center" vertical="center" wrapText="1"/>
    </xf>
    <xf numFmtId="0" fontId="12" fillId="0" borderId="0" xfId="1502" applyFont="1" applyBorder="1" applyAlignment="1">
      <alignment horizontal="center" wrapText="1"/>
    </xf>
    <xf numFmtId="0" fontId="12" fillId="0" borderId="0" xfId="1502" applyFont="1" applyBorder="1" applyAlignment="1">
      <alignment horizontal="center" vertical="center"/>
    </xf>
    <xf numFmtId="0" fontId="14" fillId="0" borderId="6" xfId="1502" applyFont="1" applyFill="1" applyBorder="1" applyAlignment="1">
      <alignment horizontal="center" vertical="center" wrapText="1"/>
    </xf>
    <xf numFmtId="4" fontId="14" fillId="0" borderId="6" xfId="1502" applyNumberFormat="1" applyFont="1" applyFill="1" applyBorder="1" applyAlignment="1">
      <alignment horizontal="center" vertical="center" wrapText="1"/>
    </xf>
    <xf numFmtId="4" fontId="14" fillId="0" borderId="6" xfId="1502" applyNumberFormat="1" applyFont="1" applyFill="1" applyBorder="1" applyAlignment="1">
      <alignment horizontal="center" vertical="center"/>
    </xf>
    <xf numFmtId="0" fontId="12" fillId="0" borderId="0" xfId="1502" applyFont="1" applyFill="1" applyBorder="1" applyAlignment="1">
      <alignment horizontal="center" wrapText="1"/>
    </xf>
    <xf numFmtId="0" fontId="12" fillId="0" borderId="0" xfId="1502" applyFont="1" applyFill="1" applyBorder="1" applyAlignment="1">
      <alignment horizontal="center" vertical="center"/>
    </xf>
    <xf numFmtId="0" fontId="13" fillId="0" borderId="0" xfId="1502" applyFont="1" applyFill="1" applyAlignment="1">
      <alignment horizontal="center"/>
    </xf>
    <xf numFmtId="0" fontId="14" fillId="0" borderId="6" xfId="1502" applyFont="1" applyBorder="1" applyAlignment="1">
      <alignment horizontal="center"/>
    </xf>
    <xf numFmtId="166" fontId="19" fillId="0" borderId="6" xfId="1502" applyNumberFormat="1" applyFont="1" applyFill="1" applyBorder="1" applyAlignment="1">
      <alignment horizontal="center" vertical="center" wrapText="1"/>
    </xf>
    <xf numFmtId="166" fontId="20" fillId="0" borderId="6" xfId="1502" applyNumberFormat="1" applyFont="1" applyFill="1" applyBorder="1" applyAlignment="1">
      <alignment horizontal="center" vertical="center" wrapText="1"/>
    </xf>
    <xf numFmtId="164" fontId="20" fillId="0" borderId="6" xfId="1502" applyNumberFormat="1" applyFont="1" applyBorder="1" applyAlignment="1">
      <alignment horizontal="center" vertical="center" wrapText="1"/>
    </xf>
    <xf numFmtId="0" fontId="14" fillId="0" borderId="6" xfId="1502" applyFont="1" applyBorder="1" applyAlignment="1">
      <alignment horizontal="left" vertical="center" wrapText="1"/>
    </xf>
    <xf numFmtId="0" fontId="14" fillId="0" borderId="34" xfId="1502" applyFont="1" applyBorder="1" applyAlignment="1">
      <alignment horizontal="left" vertical="center" wrapText="1"/>
    </xf>
    <xf numFmtId="164" fontId="14" fillId="0" borderId="6" xfId="1502" applyNumberFormat="1" applyFont="1" applyBorder="1" applyAlignment="1">
      <alignment horizontal="center" vertical="center" wrapText="1"/>
    </xf>
    <xf numFmtId="0" fontId="12" fillId="0" borderId="6" xfId="1502" applyFont="1" applyBorder="1" applyAlignment="1">
      <alignment horizontal="center" wrapText="1"/>
    </xf>
    <xf numFmtId="0" fontId="12" fillId="0" borderId="6" xfId="1502" applyFont="1" applyBorder="1" applyAlignment="1">
      <alignment horizontal="center" vertical="center"/>
    </xf>
    <xf numFmtId="0" fontId="13" fillId="0" borderId="0" xfId="1502" applyFont="1" applyBorder="1" applyAlignment="1">
      <alignment horizontal="center"/>
    </xf>
    <xf numFmtId="0" fontId="13" fillId="0" borderId="6" xfId="1502" applyFont="1" applyBorder="1" applyAlignment="1">
      <alignment horizontal="center"/>
    </xf>
    <xf numFmtId="164" fontId="20" fillId="0" borderId="0" xfId="1502" applyNumberFormat="1" applyFont="1" applyBorder="1" applyAlignment="1">
      <alignment horizontal="center" vertical="center"/>
    </xf>
    <xf numFmtId="1" fontId="20" fillId="0" borderId="0" xfId="1502" applyNumberFormat="1" applyFont="1" applyBorder="1" applyAlignment="1">
      <alignment horizontal="center" vertical="center"/>
    </xf>
    <xf numFmtId="0" fontId="17" fillId="0" borderId="16" xfId="1502" applyFont="1" applyBorder="1" applyAlignment="1">
      <alignment horizontal="left" vertical="center" wrapText="1"/>
    </xf>
    <xf numFmtId="164" fontId="20" fillId="0" borderId="16" xfId="1502" applyNumberFormat="1" applyFont="1" applyBorder="1" applyAlignment="1">
      <alignment horizontal="center" vertical="center"/>
    </xf>
    <xf numFmtId="2" fontId="14" fillId="0" borderId="6" xfId="1502" applyNumberFormat="1" applyFont="1" applyFill="1" applyBorder="1" applyAlignment="1">
      <alignment horizontal="center" vertical="center" wrapText="1"/>
    </xf>
    <xf numFmtId="2" fontId="20" fillId="0" borderId="6" xfId="1502" applyNumberFormat="1" applyFont="1" applyFill="1" applyBorder="1" applyAlignment="1">
      <alignment horizontal="center" vertical="center" wrapText="1"/>
    </xf>
    <xf numFmtId="2" fontId="14" fillId="0" borderId="6" xfId="1502" applyNumberFormat="1" applyFont="1" applyBorder="1" applyAlignment="1">
      <alignment horizontal="center" vertical="center" wrapText="1"/>
    </xf>
    <xf numFmtId="2" fontId="14" fillId="0" borderId="6" xfId="1502" applyNumberFormat="1" applyFont="1" applyFill="1" applyBorder="1" applyAlignment="1">
      <alignment horizontal="center" vertical="center"/>
    </xf>
    <xf numFmtId="2" fontId="14" fillId="0" borderId="6" xfId="1502" applyNumberFormat="1" applyFont="1" applyBorder="1" applyAlignment="1">
      <alignment horizontal="center" vertical="center"/>
    </xf>
    <xf numFmtId="164" fontId="19" fillId="0" borderId="6" xfId="1502" applyNumberFormat="1" applyFont="1" applyBorder="1" applyAlignment="1">
      <alignment horizontal="center" vertical="center" wrapText="1"/>
    </xf>
    <xf numFmtId="0" fontId="14" fillId="0" borderId="0" xfId="1502" applyFont="1" applyBorder="1" applyAlignment="1">
      <alignment vertical="center" wrapText="1"/>
    </xf>
    <xf numFmtId="164" fontId="14" fillId="0" borderId="6" xfId="1502" applyNumberFormat="1" applyFont="1" applyBorder="1" applyAlignment="1">
      <alignment horizontal="center" vertical="center"/>
    </xf>
    <xf numFmtId="1" fontId="20" fillId="0" borderId="6" xfId="1502" applyNumberFormat="1" applyFont="1" applyBorder="1" applyAlignment="1">
      <alignment horizontal="center" vertical="center"/>
    </xf>
    <xf numFmtId="0" fontId="19" fillId="0" borderId="6" xfId="1502" applyFont="1" applyBorder="1" applyAlignment="1">
      <alignment vertical="center" wrapText="1"/>
    </xf>
    <xf numFmtId="0" fontId="19" fillId="0" borderId="6" xfId="1502" applyFont="1" applyBorder="1" applyAlignment="1">
      <alignment horizontal="center" vertical="center" wrapText="1"/>
    </xf>
    <xf numFmtId="0" fontId="14" fillId="0" borderId="6" xfId="1502" applyFont="1" applyBorder="1" applyAlignment="1">
      <alignment horizontal="justify" wrapText="1"/>
    </xf>
    <xf numFmtId="0" fontId="17" fillId="52" borderId="0" xfId="1502" applyFont="1" applyFill="1" applyBorder="1" applyAlignment="1">
      <alignment horizontal="left" vertical="center" wrapText="1"/>
    </xf>
    <xf numFmtId="0" fontId="23" fillId="52" borderId="0" xfId="1502" applyFont="1" applyFill="1" applyBorder="1" applyAlignment="1">
      <alignment horizontal="left" vertical="center" wrapText="1"/>
    </xf>
    <xf numFmtId="0" fontId="14" fillId="52" borderId="0" xfId="1502" applyFont="1" applyFill="1" applyAlignment="1">
      <alignment horizontal="justify" wrapText="1"/>
    </xf>
    <xf numFmtId="0" fontId="12" fillId="52" borderId="0" xfId="1502" applyFont="1" applyFill="1"/>
    <xf numFmtId="0" fontId="13" fillId="0" borderId="0" xfId="0" applyFont="1" applyAlignment="1">
      <alignment horizontal="center" vertical="top"/>
    </xf>
    <xf numFmtId="0" fontId="17" fillId="0" borderId="0" xfId="0" applyFont="1" applyBorder="1" applyAlignment="1">
      <alignment horizontal="left" vertical="center" wrapText="1"/>
    </xf>
    <xf numFmtId="0" fontId="13" fillId="0" borderId="0" xfId="0" applyFont="1" applyAlignment="1">
      <alignment horizontal="center"/>
    </xf>
    <xf numFmtId="0" fontId="18"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Border="1" applyAlignment="1">
      <alignment horizontal="center"/>
    </xf>
    <xf numFmtId="4" fontId="14" fillId="0" borderId="6"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164" fontId="14" fillId="0" borderId="0" xfId="0" applyNumberFormat="1" applyFont="1" applyBorder="1" applyAlignment="1">
      <alignment horizontal="right" vertical="top" wrapText="1"/>
    </xf>
    <xf numFmtId="0" fontId="0" fillId="0" borderId="0" xfId="0" applyBorder="1" applyAlignment="1"/>
    <xf numFmtId="0" fontId="21" fillId="0" borderId="34" xfId="0" applyFont="1" applyBorder="1" applyAlignment="1">
      <alignment horizontal="center" vertical="center" wrapText="1"/>
    </xf>
    <xf numFmtId="4" fontId="14" fillId="0" borderId="6" xfId="0" applyNumberFormat="1" applyFont="1" applyBorder="1" applyAlignment="1">
      <alignment horizontal="center" vertical="center"/>
    </xf>
    <xf numFmtId="4" fontId="20" fillId="0" borderId="6" xfId="0" applyNumberFormat="1" applyFont="1" applyBorder="1" applyAlignment="1">
      <alignment horizontal="center" vertical="center" wrapText="1"/>
    </xf>
    <xf numFmtId="165" fontId="14" fillId="0" borderId="0" xfId="0" applyNumberFormat="1" applyFont="1" applyBorder="1" applyAlignment="1">
      <alignment horizontal="center" wrapText="1"/>
    </xf>
    <xf numFmtId="0" fontId="22" fillId="0" borderId="0" xfId="0" applyFont="1" applyBorder="1" applyAlignment="1">
      <alignment horizontal="center" vertical="center"/>
    </xf>
    <xf numFmtId="4" fontId="14" fillId="0" borderId="6" xfId="0" applyNumberFormat="1" applyFont="1" applyBorder="1" applyAlignment="1">
      <alignment horizontal="center" vertical="center" wrapText="1"/>
    </xf>
    <xf numFmtId="4" fontId="20" fillId="0" borderId="6" xfId="0" applyNumberFormat="1" applyFont="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vertical="center"/>
    </xf>
    <xf numFmtId="0" fontId="24" fillId="0" borderId="6" xfId="0" applyFont="1" applyFill="1" applyBorder="1" applyAlignment="1">
      <alignment horizontal="center" vertical="center" wrapText="1"/>
    </xf>
    <xf numFmtId="4" fontId="24" fillId="0" borderId="6" xfId="0" applyNumberFormat="1" applyFont="1" applyFill="1" applyBorder="1" applyAlignment="1">
      <alignment horizontal="center" vertical="center" wrapText="1"/>
    </xf>
    <xf numFmtId="4" fontId="24" fillId="0" borderId="6" xfId="0" applyNumberFormat="1" applyFont="1" applyFill="1" applyBorder="1" applyAlignment="1">
      <alignment horizontal="center" vertical="center"/>
    </xf>
    <xf numFmtId="4" fontId="25" fillId="0" borderId="6" xfId="0" applyNumberFormat="1" applyFont="1" applyFill="1" applyBorder="1" applyAlignment="1">
      <alignment horizontal="center" vertical="center"/>
    </xf>
    <xf numFmtId="0" fontId="0" fillId="0" borderId="0" xfId="0" applyFill="1" applyBorder="1" applyAlignment="1">
      <alignment horizontal="center" wrapText="1"/>
    </xf>
    <xf numFmtId="0" fontId="0" fillId="0" borderId="0" xfId="0" applyFill="1" applyBorder="1" applyAlignment="1">
      <alignment horizontal="center" vertical="center"/>
    </xf>
    <xf numFmtId="0" fontId="13" fillId="0" borderId="0" xfId="0" applyFont="1" applyFill="1" applyAlignment="1">
      <alignment horizontal="center"/>
    </xf>
    <xf numFmtId="4" fontId="14" fillId="0" borderId="6"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 fontId="20" fillId="0" borderId="6" xfId="0" applyNumberFormat="1" applyFont="1" applyFill="1" applyBorder="1" applyAlignment="1">
      <alignment horizontal="center" vertical="center"/>
    </xf>
    <xf numFmtId="0" fontId="14" fillId="0" borderId="6" xfId="0" applyFont="1" applyBorder="1" applyAlignment="1">
      <alignment horizontal="center"/>
    </xf>
    <xf numFmtId="164" fontId="19" fillId="0" borderId="6" xfId="0" applyNumberFormat="1" applyFont="1" applyBorder="1" applyAlignment="1">
      <alignment horizontal="center" vertical="center" wrapText="1"/>
    </xf>
    <xf numFmtId="164" fontId="20"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14" fillId="0" borderId="6" xfId="0" applyNumberFormat="1" applyFont="1" applyFill="1"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center" vertical="center"/>
    </xf>
    <xf numFmtId="0" fontId="13" fillId="0" borderId="0" xfId="0" applyFont="1" applyBorder="1" applyAlignment="1">
      <alignment horizontal="center"/>
    </xf>
    <xf numFmtId="0" fontId="13" fillId="0" borderId="6" xfId="0" applyFont="1" applyBorder="1" applyAlignment="1">
      <alignment horizontal="center"/>
    </xf>
    <xf numFmtId="164" fontId="20" fillId="0" borderId="0" xfId="0" applyNumberFormat="1" applyFont="1" applyBorder="1" applyAlignment="1">
      <alignment horizontal="center" vertical="center"/>
    </xf>
    <xf numFmtId="1" fontId="20" fillId="0" borderId="0" xfId="0" applyNumberFormat="1" applyFont="1" applyBorder="1" applyAlignment="1">
      <alignment horizontal="center" vertical="center"/>
    </xf>
    <xf numFmtId="0" fontId="17" fillId="0" borderId="16" xfId="0" applyFont="1" applyBorder="1" applyAlignment="1">
      <alignment horizontal="left" vertical="center" wrapText="1"/>
    </xf>
    <xf numFmtId="164" fontId="20" fillId="0" borderId="16" xfId="0" applyNumberFormat="1" applyFont="1" applyBorder="1" applyAlignment="1">
      <alignment horizontal="center" vertical="center"/>
    </xf>
    <xf numFmtId="2" fontId="14" fillId="0" borderId="6"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2" fontId="14" fillId="0" borderId="6" xfId="0" applyNumberFormat="1" applyFont="1" applyBorder="1" applyAlignment="1">
      <alignment horizontal="center" vertical="center" wrapText="1"/>
    </xf>
    <xf numFmtId="2" fontId="20" fillId="0" borderId="6" xfId="0" applyNumberFormat="1" applyFont="1" applyBorder="1" applyAlignment="1">
      <alignment horizontal="center" vertical="center"/>
    </xf>
    <xf numFmtId="2" fontId="14" fillId="0" borderId="6" xfId="0" applyNumberFormat="1" applyFont="1" applyFill="1" applyBorder="1" applyAlignment="1">
      <alignment horizontal="center" vertical="center"/>
    </xf>
    <xf numFmtId="2" fontId="14" fillId="0" borderId="6" xfId="0" applyNumberFormat="1" applyFont="1" applyBorder="1" applyAlignment="1">
      <alignment horizontal="center" vertical="center"/>
    </xf>
    <xf numFmtId="0" fontId="14" fillId="0" borderId="0" xfId="0" applyFont="1" applyBorder="1" applyAlignment="1">
      <alignment vertical="center" wrapText="1"/>
    </xf>
    <xf numFmtId="164" fontId="14" fillId="0" borderId="6" xfId="0" applyNumberFormat="1" applyFont="1" applyBorder="1" applyAlignment="1">
      <alignment horizontal="center" vertical="center"/>
    </xf>
    <xf numFmtId="1" fontId="20" fillId="0" borderId="6" xfId="0" applyNumberFormat="1" applyFont="1" applyBorder="1" applyAlignment="1">
      <alignment horizontal="center" vertical="center"/>
    </xf>
    <xf numFmtId="0" fontId="19" fillId="0" borderId="6" xfId="0" applyFont="1" applyBorder="1" applyAlignment="1">
      <alignment vertical="center" wrapText="1"/>
    </xf>
    <xf numFmtId="0" fontId="19" fillId="0" borderId="6" xfId="0" applyFont="1" applyBorder="1" applyAlignment="1">
      <alignment horizontal="center" vertical="center" wrapText="1"/>
    </xf>
    <xf numFmtId="0" fontId="14" fillId="0" borderId="6" xfId="0" applyFont="1" applyBorder="1" applyAlignment="1">
      <alignment horizontal="justify" wrapText="1"/>
    </xf>
    <xf numFmtId="0" fontId="13" fillId="52" borderId="0" xfId="1502" applyFont="1" applyFill="1" applyAlignment="1">
      <alignment horizontal="center"/>
    </xf>
    <xf numFmtId="0" fontId="14" fillId="0" borderId="0" xfId="0" applyFont="1" applyAlignment="1">
      <alignment horizontal="center"/>
    </xf>
    <xf numFmtId="166" fontId="14" fillId="0" borderId="6" xfId="0" applyNumberFormat="1" applyFont="1" applyFill="1" applyBorder="1" applyAlignment="1">
      <alignment horizontal="center" vertical="center" wrapText="1"/>
    </xf>
    <xf numFmtId="166" fontId="20" fillId="0" borderId="6" xfId="0" applyNumberFormat="1" applyFont="1" applyFill="1" applyBorder="1" applyAlignment="1">
      <alignment horizontal="center" vertical="center" wrapText="1"/>
    </xf>
    <xf numFmtId="166" fontId="21" fillId="0" borderId="34" xfId="0" applyNumberFormat="1" applyFont="1" applyBorder="1" applyAlignment="1">
      <alignment horizontal="center" vertical="center" wrapText="1"/>
    </xf>
    <xf numFmtId="166" fontId="14" fillId="0" borderId="6" xfId="0" applyNumberFormat="1" applyFont="1" applyBorder="1" applyAlignment="1">
      <alignment horizontal="center" vertical="center" wrapText="1"/>
    </xf>
    <xf numFmtId="166" fontId="14" fillId="0" borderId="6" xfId="0" applyNumberFormat="1" applyFont="1" applyBorder="1" applyAlignment="1">
      <alignment horizontal="center" vertical="center"/>
    </xf>
    <xf numFmtId="166" fontId="20" fillId="0" borderId="6" xfId="0" applyNumberFormat="1" applyFont="1" applyBorder="1" applyAlignment="1">
      <alignment horizontal="center" vertical="center" wrapText="1"/>
    </xf>
    <xf numFmtId="166" fontId="20" fillId="0" borderId="6" xfId="0" applyNumberFormat="1" applyFont="1" applyBorder="1" applyAlignment="1">
      <alignment horizontal="center" vertical="center"/>
    </xf>
    <xf numFmtId="166" fontId="24" fillId="0" borderId="6" xfId="0" applyNumberFormat="1" applyFont="1" applyFill="1" applyBorder="1" applyAlignment="1">
      <alignment horizontal="center" vertical="center" wrapText="1"/>
    </xf>
    <xf numFmtId="166" fontId="24"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xf>
    <xf numFmtId="166" fontId="14" fillId="0" borderId="6" xfId="0" applyNumberFormat="1" applyFont="1" applyFill="1" applyBorder="1" applyAlignment="1">
      <alignment horizontal="center" vertical="center"/>
    </xf>
    <xf numFmtId="166" fontId="20" fillId="0" borderId="6" xfId="0" applyNumberFormat="1" applyFont="1" applyFill="1" applyBorder="1" applyAlignment="1">
      <alignment horizontal="center" vertical="center"/>
    </xf>
    <xf numFmtId="166" fontId="18" fillId="0" borderId="6" xfId="0" applyNumberFormat="1" applyFont="1" applyBorder="1" applyAlignment="1">
      <alignment horizontal="center" vertical="center" wrapText="1"/>
    </xf>
    <xf numFmtId="166" fontId="19" fillId="0" borderId="6" xfId="0" applyNumberFormat="1" applyFont="1" applyBorder="1" applyAlignment="1">
      <alignment horizontal="center" vertical="center" wrapText="1"/>
    </xf>
    <xf numFmtId="164" fontId="20" fillId="0" borderId="6" xfId="0" applyNumberFormat="1" applyFont="1" applyFill="1" applyBorder="1" applyAlignment="1">
      <alignment horizontal="center" vertical="center" wrapText="1"/>
    </xf>
    <xf numFmtId="164" fontId="21" fillId="0" borderId="34" xfId="0" applyNumberFormat="1" applyFont="1" applyBorder="1" applyAlignment="1">
      <alignment horizontal="center" vertical="center" wrapText="1"/>
    </xf>
    <xf numFmtId="164" fontId="20" fillId="0" borderId="6" xfId="0" applyNumberFormat="1" applyFont="1" applyBorder="1" applyAlignment="1">
      <alignment horizontal="center" vertical="center"/>
    </xf>
    <xf numFmtId="164" fontId="14" fillId="0" borderId="6" xfId="0" applyNumberFormat="1" applyFont="1" applyFill="1" applyBorder="1" applyAlignment="1">
      <alignment horizontal="center" vertical="center"/>
    </xf>
    <xf numFmtId="0" fontId="14" fillId="0" borderId="6" xfId="0" applyNumberFormat="1" applyFont="1" applyBorder="1" applyAlignment="1">
      <alignment horizontal="center" vertical="center" wrapText="1"/>
    </xf>
    <xf numFmtId="0" fontId="13" fillId="0" borderId="0" xfId="0" applyNumberFormat="1" applyFont="1" applyAlignment="1">
      <alignment horizontal="center"/>
    </xf>
    <xf numFmtId="0" fontId="14" fillId="0" borderId="6" xfId="0" applyFont="1" applyBorder="1" applyAlignment="1">
      <alignment horizontal="left" vertical="center" wrapText="1"/>
    </xf>
    <xf numFmtId="0" fontId="14" fillId="0" borderId="6" xfId="0" applyFont="1" applyFill="1" applyBorder="1" applyAlignment="1">
      <alignment horizontal="left" vertical="center" wrapText="1"/>
    </xf>
    <xf numFmtId="0" fontId="14" fillId="0" borderId="34" xfId="0" applyFont="1" applyBorder="1" applyAlignment="1">
      <alignment horizontal="left" vertical="center" wrapText="1"/>
    </xf>
    <xf numFmtId="166" fontId="13" fillId="0" borderId="0" xfId="0" applyNumberFormat="1" applyFont="1" applyAlignment="1">
      <alignment horizontal="center"/>
    </xf>
    <xf numFmtId="164" fontId="13" fillId="0" borderId="0" xfId="0" applyNumberFormat="1" applyFont="1" applyAlignment="1">
      <alignment horizontal="center"/>
    </xf>
    <xf numFmtId="164" fontId="20" fillId="0" borderId="6"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6" xfId="0" applyFont="1" applyFill="1" applyBorder="1" applyAlignment="1">
      <alignment horizontal="center" vertical="center" wrapText="1"/>
    </xf>
    <xf numFmtId="0" fontId="9" fillId="0" borderId="0" xfId="1182" applyFont="1" applyAlignment="1" applyProtection="1">
      <alignment horizontal="center" vertical="center"/>
    </xf>
    <xf numFmtId="0" fontId="26" fillId="0" borderId="0" xfId="0" applyFont="1"/>
    <xf numFmtId="0" fontId="27" fillId="0" borderId="0" xfId="1182" applyFont="1" applyAlignment="1" applyProtection="1">
      <alignment horizontal="center" vertical="center"/>
    </xf>
    <xf numFmtId="0" fontId="30" fillId="53" borderId="6" xfId="0" applyFont="1" applyFill="1" applyBorder="1" applyAlignment="1">
      <alignment horizontal="center" vertical="center" wrapText="1"/>
    </xf>
    <xf numFmtId="0" fontId="30" fillId="53" borderId="6" xfId="0" applyFont="1" applyFill="1" applyBorder="1" applyAlignment="1">
      <alignment horizontal="center" vertical="center"/>
    </xf>
    <xf numFmtId="4" fontId="26" fillId="0" borderId="6" xfId="0" applyNumberFormat="1" applyFont="1" applyBorder="1"/>
    <xf numFmtId="3" fontId="26" fillId="0" borderId="6" xfId="0" applyNumberFormat="1" applyFont="1" applyBorder="1"/>
    <xf numFmtId="166" fontId="26" fillId="0" borderId="6" xfId="0" applyNumberFormat="1" applyFont="1" applyBorder="1"/>
    <xf numFmtId="4" fontId="29" fillId="0" borderId="6" xfId="0" applyNumberFormat="1" applyFont="1" applyBorder="1"/>
    <xf numFmtId="3" fontId="29" fillId="0" borderId="6" xfId="0" applyNumberFormat="1" applyFont="1" applyBorder="1"/>
    <xf numFmtId="4" fontId="0" fillId="0" borderId="0" xfId="0" applyNumberFormat="1"/>
    <xf numFmtId="167" fontId="26" fillId="0" borderId="6" xfId="0" applyNumberFormat="1" applyFont="1" applyBorder="1"/>
    <xf numFmtId="0" fontId="1" fillId="0" borderId="39" xfId="0" applyFont="1" applyBorder="1"/>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24" xfId="0" applyFont="1" applyBorder="1" applyAlignment="1">
      <alignment horizontal="center" vertical="center"/>
    </xf>
    <xf numFmtId="0" fontId="1" fillId="0" borderId="55" xfId="0" applyFont="1" applyBorder="1" applyAlignment="1">
      <alignment horizontal="center" vertical="center"/>
    </xf>
    <xf numFmtId="0" fontId="0" fillId="0" borderId="56" xfId="0" applyBorder="1"/>
    <xf numFmtId="4" fontId="31" fillId="0" borderId="57" xfId="0" applyNumberFormat="1" applyFont="1" applyFill="1" applyBorder="1" applyAlignment="1">
      <alignment horizontal="center" vertical="center" wrapText="1"/>
    </xf>
    <xf numFmtId="4" fontId="31" fillId="0" borderId="6" xfId="0" applyNumberFormat="1" applyFont="1" applyFill="1" applyBorder="1" applyAlignment="1">
      <alignment horizontal="center" vertical="center" wrapText="1"/>
    </xf>
    <xf numFmtId="0" fontId="0" fillId="0" borderId="58" xfId="0" applyBorder="1"/>
    <xf numFmtId="4" fontId="31" fillId="0" borderId="59" xfId="0" applyNumberFormat="1" applyFont="1" applyFill="1" applyBorder="1" applyAlignment="1">
      <alignment horizontal="center" vertical="center" wrapText="1"/>
    </xf>
    <xf numFmtId="0" fontId="0" fillId="0" borderId="60" xfId="0" applyBorder="1" applyAlignment="1">
      <alignment horizontal="center" vertical="center"/>
    </xf>
    <xf numFmtId="4" fontId="31" fillId="0" borderId="61" xfId="0" applyNumberFormat="1" applyFont="1" applyFill="1" applyBorder="1" applyAlignment="1">
      <alignment horizontal="center" vertical="center" wrapText="1"/>
    </xf>
    <xf numFmtId="0" fontId="0" fillId="0" borderId="62" xfId="0" applyBorder="1"/>
    <xf numFmtId="0" fontId="0" fillId="0" borderId="63" xfId="0" applyBorder="1" applyAlignment="1">
      <alignment horizontal="center" vertical="center"/>
    </xf>
    <xf numFmtId="3" fontId="0" fillId="0" borderId="64" xfId="0" applyNumberFormat="1" applyBorder="1" applyAlignment="1">
      <alignment horizontal="center" vertical="center"/>
    </xf>
    <xf numFmtId="3" fontId="0" fillId="0" borderId="65" xfId="0" applyNumberFormat="1" applyBorder="1" applyAlignment="1">
      <alignment horizontal="center" vertical="center"/>
    </xf>
    <xf numFmtId="3" fontId="0" fillId="0" borderId="63" xfId="0" applyNumberFormat="1" applyBorder="1" applyAlignment="1">
      <alignment horizontal="center" vertical="center"/>
    </xf>
    <xf numFmtId="0" fontId="0" fillId="0" borderId="66" xfId="0" applyBorder="1" applyAlignment="1">
      <alignment horizontal="center" vertical="center"/>
    </xf>
    <xf numFmtId="166" fontId="0" fillId="0" borderId="67" xfId="0" applyNumberFormat="1" applyBorder="1" applyAlignment="1">
      <alignment horizontal="center" vertical="center"/>
    </xf>
    <xf numFmtId="166" fontId="0" fillId="0" borderId="35" xfId="0" applyNumberFormat="1" applyBorder="1" applyAlignment="1">
      <alignment horizontal="center" vertical="center"/>
    </xf>
    <xf numFmtId="166" fontId="0" fillId="0" borderId="68" xfId="0" applyNumberFormat="1" applyBorder="1" applyAlignment="1">
      <alignment horizontal="center" vertical="center"/>
    </xf>
    <xf numFmtId="166" fontId="0" fillId="0" borderId="66" xfId="0" applyNumberFormat="1" applyBorder="1" applyAlignment="1">
      <alignment horizontal="center" vertical="center"/>
    </xf>
    <xf numFmtId="0" fontId="0" fillId="0" borderId="59" xfId="0" applyBorder="1" applyAlignment="1">
      <alignment horizontal="center" vertical="center"/>
    </xf>
    <xf numFmtId="166" fontId="0" fillId="0" borderId="61" xfId="0" applyNumberFormat="1" applyBorder="1" applyAlignment="1">
      <alignment horizontal="center" vertical="center"/>
    </xf>
    <xf numFmtId="166" fontId="0" fillId="0" borderId="6" xfId="0" applyNumberFormat="1" applyBorder="1" applyAlignment="1">
      <alignment horizontal="center" vertical="center"/>
    </xf>
    <xf numFmtId="166" fontId="0" fillId="0" borderId="69" xfId="0" applyNumberFormat="1" applyBorder="1" applyAlignment="1">
      <alignment horizontal="center" vertical="center"/>
    </xf>
    <xf numFmtId="166" fontId="0" fillId="0" borderId="59" xfId="0" applyNumberFormat="1" applyBorder="1" applyAlignment="1">
      <alignment horizontal="center" vertical="center"/>
    </xf>
    <xf numFmtId="166" fontId="0" fillId="0" borderId="70" xfId="0" applyNumberFormat="1" applyBorder="1" applyAlignment="1">
      <alignment horizontal="center" vertical="center"/>
    </xf>
    <xf numFmtId="166" fontId="0" fillId="0" borderId="60" xfId="0" applyNumberFormat="1" applyBorder="1" applyAlignment="1">
      <alignment horizontal="center" vertical="center"/>
    </xf>
    <xf numFmtId="3" fontId="32" fillId="0" borderId="31" xfId="0" applyNumberFormat="1" applyFont="1" applyFill="1" applyBorder="1" applyAlignment="1">
      <alignment horizontal="center"/>
    </xf>
    <xf numFmtId="166" fontId="32" fillId="0" borderId="31" xfId="0" applyNumberFormat="1" applyFont="1" applyFill="1" applyBorder="1" applyAlignment="1">
      <alignment horizontal="center"/>
    </xf>
    <xf numFmtId="166" fontId="33" fillId="0" borderId="6" xfId="0" applyNumberFormat="1" applyFont="1" applyBorder="1" applyAlignment="1">
      <alignment horizontal="center" vertical="center"/>
    </xf>
    <xf numFmtId="166" fontId="0" fillId="0" borderId="0" xfId="0" applyNumberFormat="1"/>
    <xf numFmtId="4" fontId="33" fillId="0" borderId="31" xfId="0" applyNumberFormat="1" applyFont="1" applyFill="1" applyBorder="1" applyAlignment="1">
      <alignment horizontal="center"/>
    </xf>
    <xf numFmtId="4" fontId="34" fillId="0" borderId="35" xfId="0" applyNumberFormat="1" applyFont="1" applyBorder="1" applyAlignment="1">
      <alignment horizontal="center" vertical="center"/>
    </xf>
    <xf numFmtId="4" fontId="34" fillId="0" borderId="68" xfId="0" applyNumberFormat="1" applyFont="1" applyBorder="1" applyAlignment="1">
      <alignment horizontal="center" vertical="center"/>
    </xf>
    <xf numFmtId="3" fontId="0" fillId="0" borderId="67" xfId="0" applyNumberFormat="1" applyBorder="1" applyAlignment="1">
      <alignment horizontal="center" vertical="center"/>
    </xf>
    <xf numFmtId="3" fontId="0" fillId="0" borderId="35" xfId="0" applyNumberFormat="1" applyBorder="1" applyAlignment="1">
      <alignment horizontal="center" vertical="center"/>
    </xf>
    <xf numFmtId="3" fontId="33" fillId="0" borderId="31" xfId="0" applyNumberFormat="1" applyFont="1" applyFill="1" applyBorder="1" applyAlignment="1">
      <alignment horizontal="center"/>
    </xf>
    <xf numFmtId="3" fontId="34" fillId="0" borderId="35" xfId="0" applyNumberFormat="1" applyFont="1" applyBorder="1" applyAlignment="1">
      <alignment horizontal="center" vertical="center"/>
    </xf>
    <xf numFmtId="3" fontId="34" fillId="0" borderId="68" xfId="0" applyNumberFormat="1" applyFont="1" applyBorder="1" applyAlignment="1">
      <alignment horizontal="center" vertical="center"/>
    </xf>
    <xf numFmtId="3" fontId="0" fillId="0" borderId="66" xfId="0" applyNumberFormat="1" applyBorder="1" applyAlignment="1">
      <alignment horizontal="center" vertical="center"/>
    </xf>
    <xf numFmtId="3" fontId="0" fillId="0" borderId="61" xfId="0" applyNumberFormat="1" applyBorder="1" applyAlignment="1">
      <alignment horizontal="center" vertical="center"/>
    </xf>
    <xf numFmtId="3" fontId="33" fillId="0" borderId="6"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69" xfId="0" applyNumberFormat="1" applyFont="1" applyBorder="1" applyAlignment="1">
      <alignment horizontal="center" vertical="center"/>
    </xf>
    <xf numFmtId="3" fontId="0" fillId="0" borderId="59" xfId="0" applyNumberFormat="1" applyBorder="1" applyAlignment="1">
      <alignment horizontal="center" vertical="center"/>
    </xf>
    <xf numFmtId="3" fontId="34" fillId="0" borderId="67" xfId="0" applyNumberFormat="1" applyFont="1" applyBorder="1" applyAlignment="1">
      <alignment horizontal="center" vertical="center"/>
    </xf>
    <xf numFmtId="4" fontId="31" fillId="0" borderId="57" xfId="0" applyNumberFormat="1" applyFont="1" applyFill="1" applyBorder="1" applyAlignment="1">
      <alignment vertical="center" wrapText="1"/>
    </xf>
    <xf numFmtId="4" fontId="31" fillId="0" borderId="71" xfId="0" applyNumberFormat="1" applyFont="1" applyFill="1" applyBorder="1" applyAlignment="1">
      <alignment horizontal="center" vertical="center" wrapText="1"/>
    </xf>
    <xf numFmtId="4" fontId="31" fillId="0" borderId="29" xfId="0" applyNumberFormat="1" applyFont="1" applyFill="1" applyBorder="1" applyAlignment="1">
      <alignment horizontal="center" vertical="center" wrapText="1"/>
    </xf>
    <xf numFmtId="4" fontId="31" fillId="0" borderId="72" xfId="0" applyNumberFormat="1" applyFont="1" applyFill="1" applyBorder="1" applyAlignment="1">
      <alignment horizontal="center" vertical="center" wrapText="1"/>
    </xf>
    <xf numFmtId="4" fontId="31" fillId="0" borderId="59" xfId="0" applyNumberFormat="1" applyFont="1" applyFill="1" applyBorder="1" applyAlignment="1">
      <alignment vertical="center" wrapText="1"/>
    </xf>
    <xf numFmtId="4" fontId="32" fillId="0" borderId="61" xfId="0" applyNumberFormat="1" applyFont="1" applyFill="1" applyBorder="1" applyAlignment="1">
      <alignment horizontal="center" vertical="center" wrapText="1"/>
    </xf>
    <xf numFmtId="4" fontId="31" fillId="0" borderId="69" xfId="0" applyNumberFormat="1" applyFont="1" applyFill="1" applyBorder="1" applyAlignment="1">
      <alignment horizontal="center" vertical="center" wrapText="1"/>
    </xf>
    <xf numFmtId="4" fontId="31" fillId="0" borderId="63" xfId="0" applyNumberFormat="1" applyFont="1" applyFill="1" applyBorder="1" applyAlignment="1">
      <alignment vertical="center" wrapText="1"/>
    </xf>
    <xf numFmtId="4" fontId="31" fillId="0" borderId="63" xfId="0" applyNumberFormat="1" applyFont="1" applyFill="1" applyBorder="1" applyAlignment="1">
      <alignment horizontal="center" vertical="center" wrapText="1"/>
    </xf>
    <xf numFmtId="4" fontId="31" fillId="0" borderId="64" xfId="0" applyNumberFormat="1" applyFont="1" applyFill="1" applyBorder="1" applyAlignment="1">
      <alignment horizontal="center" vertical="center" wrapText="1"/>
    </xf>
    <xf numFmtId="4" fontId="31" fillId="0" borderId="36" xfId="0" applyNumberFormat="1" applyFont="1" applyFill="1" applyBorder="1" applyAlignment="1">
      <alignment horizontal="center" vertical="center" wrapText="1"/>
    </xf>
    <xf numFmtId="4" fontId="31" fillId="0" borderId="51" xfId="0" applyNumberFormat="1" applyFont="1" applyFill="1" applyBorder="1" applyAlignment="1">
      <alignment horizontal="center" vertical="center" wrapText="1"/>
    </xf>
    <xf numFmtId="166" fontId="0" fillId="0" borderId="64" xfId="0" applyNumberFormat="1" applyBorder="1" applyAlignment="1">
      <alignment horizontal="center" vertical="center"/>
    </xf>
    <xf numFmtId="166" fontId="0" fillId="0" borderId="36" xfId="0" applyNumberFormat="1" applyBorder="1" applyAlignment="1">
      <alignment horizontal="center" vertical="center"/>
    </xf>
    <xf numFmtId="166" fontId="0" fillId="0" borderId="51" xfId="0" applyNumberFormat="1" applyBorder="1" applyAlignment="1">
      <alignment horizontal="center" vertical="center"/>
    </xf>
    <xf numFmtId="166" fontId="0" fillId="0" borderId="63" xfId="0" applyNumberFormat="1" applyBorder="1" applyAlignment="1">
      <alignment horizontal="center" vertical="center"/>
    </xf>
    <xf numFmtId="4" fontId="0" fillId="0" borderId="36" xfId="0" applyNumberFormat="1" applyBorder="1" applyAlignment="1">
      <alignment horizontal="center" vertical="center"/>
    </xf>
    <xf numFmtId="166" fontId="33" fillId="0" borderId="35" xfId="0" applyNumberFormat="1" applyFont="1" applyBorder="1" applyAlignment="1">
      <alignment horizontal="center" vertical="center"/>
    </xf>
    <xf numFmtId="168" fontId="34" fillId="0" borderId="61" xfId="1587" applyNumberFormat="1" applyFont="1" applyBorder="1" applyAlignment="1">
      <alignment horizontal="center" vertical="center"/>
    </xf>
    <xf numFmtId="168" fontId="34" fillId="0" borderId="6" xfId="1587" applyNumberFormat="1" applyFont="1" applyBorder="1" applyAlignment="1">
      <alignment horizontal="center" vertical="center"/>
    </xf>
    <xf numFmtId="168" fontId="34" fillId="0" borderId="69" xfId="1587" applyNumberFormat="1" applyFont="1" applyBorder="1" applyAlignment="1">
      <alignment horizontal="center" vertical="center"/>
    </xf>
    <xf numFmtId="168" fontId="34" fillId="0" borderId="66" xfId="1587" applyNumberFormat="1" applyFont="1" applyBorder="1" applyAlignment="1">
      <alignment horizontal="center" vertical="center"/>
    </xf>
    <xf numFmtId="4" fontId="0" fillId="0" borderId="66" xfId="0" applyNumberFormat="1" applyBorder="1" applyAlignment="1">
      <alignment horizontal="center" vertical="center"/>
    </xf>
    <xf numFmtId="0" fontId="0" fillId="0" borderId="0" xfId="0" applyAlignment="1">
      <alignment horizontal="center"/>
    </xf>
    <xf numFmtId="3" fontId="33" fillId="0" borderId="35" xfId="0" applyNumberFormat="1" applyFont="1" applyBorder="1" applyAlignment="1">
      <alignment horizontal="center" vertical="center"/>
    </xf>
    <xf numFmtId="0" fontId="1" fillId="0" borderId="0" xfId="0" applyFont="1"/>
    <xf numFmtId="0" fontId="0" fillId="0" borderId="0" xfId="0" quotePrefix="1"/>
    <xf numFmtId="0" fontId="35" fillId="0" borderId="0" xfId="0" applyFont="1"/>
    <xf numFmtId="0" fontId="37" fillId="0" borderId="0" xfId="1507" applyFont="1"/>
    <xf numFmtId="0" fontId="37" fillId="0" borderId="0" xfId="1507" applyFont="1" applyAlignment="1">
      <alignment horizontal="right"/>
    </xf>
    <xf numFmtId="0" fontId="35" fillId="0" borderId="0" xfId="0" applyFont="1" applyAlignment="1"/>
    <xf numFmtId="0" fontId="39" fillId="0" borderId="26" xfId="1507" applyFont="1" applyBorder="1" applyAlignment="1">
      <alignment horizontal="center" vertical="center"/>
    </xf>
    <xf numFmtId="0" fontId="39" fillId="0" borderId="25" xfId="1507" applyFont="1" applyBorder="1" applyAlignment="1">
      <alignment horizontal="center" vertical="center"/>
    </xf>
    <xf numFmtId="0" fontId="40" fillId="0" borderId="73" xfId="1507" applyFont="1" applyBorder="1" applyAlignment="1">
      <alignment horizontal="center" vertical="center" wrapText="1"/>
    </xf>
    <xf numFmtId="0" fontId="41" fillId="0" borderId="74" xfId="1507" applyFont="1" applyBorder="1" applyAlignment="1">
      <alignment horizontal="left" vertical="center" wrapText="1"/>
    </xf>
    <xf numFmtId="0" fontId="35" fillId="0" borderId="0" xfId="0" applyFont="1" applyAlignment="1">
      <alignment wrapText="1"/>
    </xf>
    <xf numFmtId="0" fontId="40" fillId="0" borderId="75" xfId="1507" applyFont="1" applyBorder="1" applyAlignment="1">
      <alignment horizontal="center" vertical="center" wrapText="1"/>
    </xf>
    <xf numFmtId="0" fontId="41" fillId="0" borderId="76" xfId="1507" applyFont="1" applyBorder="1" applyAlignment="1">
      <alignment horizontal="left" vertical="center" wrapText="1"/>
    </xf>
    <xf numFmtId="0" fontId="41" fillId="0" borderId="31" xfId="1507" applyFont="1" applyBorder="1" applyAlignment="1">
      <alignment horizontal="left" vertical="center" wrapText="1"/>
    </xf>
    <xf numFmtId="0" fontId="40" fillId="0" borderId="77" xfId="1507" applyFont="1" applyBorder="1" applyAlignment="1">
      <alignment horizontal="center" vertical="center" wrapText="1"/>
    </xf>
    <xf numFmtId="0" fontId="41" fillId="0" borderId="38" xfId="1507" applyFont="1" applyBorder="1" applyAlignment="1">
      <alignment horizontal="left" vertical="center" wrapText="1"/>
    </xf>
    <xf numFmtId="0" fontId="40" fillId="0" borderId="0" xfId="1507" applyFont="1" applyAlignment="1"/>
    <xf numFmtId="4" fontId="31" fillId="52" borderId="69" xfId="0" applyNumberFormat="1" applyFont="1" applyFill="1" applyBorder="1" applyAlignment="1">
      <alignment horizontal="center" vertical="center" wrapText="1"/>
    </xf>
    <xf numFmtId="4" fontId="31" fillId="52" borderId="78" xfId="0" applyNumberFormat="1" applyFont="1" applyFill="1" applyBorder="1" applyAlignment="1">
      <alignment horizontal="center" vertical="center" wrapText="1"/>
    </xf>
    <xf numFmtId="4" fontId="31" fillId="52" borderId="61" xfId="0" applyNumberFormat="1" applyFont="1" applyFill="1" applyBorder="1" applyAlignment="1">
      <alignment horizontal="center" vertical="center" wrapText="1"/>
    </xf>
    <xf numFmtId="4" fontId="31" fillId="0" borderId="6" xfId="0" applyNumberFormat="1" applyFont="1" applyFill="1" applyBorder="1" applyAlignment="1">
      <alignment vertical="center" wrapText="1"/>
    </xf>
    <xf numFmtId="3" fontId="31" fillId="0" borderId="6" xfId="0" applyNumberFormat="1" applyFont="1" applyFill="1" applyBorder="1" applyAlignment="1">
      <alignment horizontal="center" vertical="center" wrapText="1"/>
    </xf>
    <xf numFmtId="166" fontId="42" fillId="0" borderId="61" xfId="0" applyNumberFormat="1" applyFont="1" applyBorder="1" applyAlignment="1">
      <alignment horizontal="center" vertical="center"/>
    </xf>
    <xf numFmtId="166" fontId="31" fillId="0" borderId="6" xfId="0" applyNumberFormat="1" applyFont="1" applyFill="1" applyBorder="1" applyAlignment="1">
      <alignment horizontal="center" vertical="center" wrapText="1"/>
    </xf>
    <xf numFmtId="167" fontId="31" fillId="0" borderId="6" xfId="0" applyNumberFormat="1" applyFont="1" applyFill="1" applyBorder="1" applyAlignment="1">
      <alignment horizontal="center" vertical="center" wrapText="1"/>
    </xf>
    <xf numFmtId="3" fontId="42" fillId="0" borderId="61" xfId="0" applyNumberFormat="1" applyFont="1" applyBorder="1" applyAlignment="1">
      <alignment horizontal="center" vertical="center"/>
    </xf>
    <xf numFmtId="4" fontId="43" fillId="0" borderId="0" xfId="0" applyNumberFormat="1" applyFont="1"/>
    <xf numFmtId="0" fontId="150" fillId="0" borderId="0" xfId="0" applyFont="1" applyAlignment="1">
      <alignment vertical="center"/>
    </xf>
    <xf numFmtId="0" fontId="35" fillId="0" borderId="0" xfId="0" applyFont="1" applyAlignment="1">
      <alignment horizontal="right" vertical="center"/>
    </xf>
    <xf numFmtId="0" fontId="152" fillId="0" borderId="26" xfId="0" applyFont="1" applyBorder="1" applyAlignment="1">
      <alignment horizontal="center" vertical="center" wrapText="1"/>
    </xf>
    <xf numFmtId="0" fontId="152" fillId="0" borderId="24" xfId="0" applyFont="1" applyBorder="1" applyAlignment="1">
      <alignment horizontal="center" vertical="center" wrapText="1"/>
    </xf>
    <xf numFmtId="0" fontId="152" fillId="0" borderId="25" xfId="0" applyFont="1" applyBorder="1" applyAlignment="1">
      <alignment horizontal="center" vertical="center" wrapText="1"/>
    </xf>
    <xf numFmtId="0" fontId="152" fillId="0" borderId="45" xfId="0" applyFont="1" applyBorder="1"/>
    <xf numFmtId="0" fontId="152" fillId="0" borderId="29" xfId="0" applyFont="1" applyBorder="1" applyAlignment="1">
      <alignment horizontal="center"/>
    </xf>
    <xf numFmtId="0" fontId="152" fillId="0" borderId="30" xfId="0" applyFont="1" applyBorder="1" applyAlignment="1">
      <alignment horizontal="center"/>
    </xf>
    <xf numFmtId="0" fontId="152" fillId="0" borderId="48" xfId="0" applyFont="1" applyBorder="1" applyAlignment="1">
      <alignment wrapText="1"/>
    </xf>
    <xf numFmtId="0" fontId="152" fillId="0" borderId="6" xfId="0" applyFont="1" applyBorder="1" applyAlignment="1">
      <alignment horizontal="center" wrapText="1"/>
    </xf>
    <xf numFmtId="0" fontId="152" fillId="0" borderId="31" xfId="0" applyFont="1" applyBorder="1" applyAlignment="1">
      <alignment horizontal="center" wrapText="1"/>
    </xf>
    <xf numFmtId="0" fontId="152" fillId="0" borderId="79" xfId="0" applyFont="1" applyBorder="1"/>
    <xf numFmtId="0" fontId="152" fillId="0" borderId="35" xfId="0" applyFont="1" applyBorder="1" applyAlignment="1">
      <alignment horizontal="center"/>
    </xf>
    <xf numFmtId="0" fontId="152" fillId="0" borderId="35" xfId="0" applyFont="1" applyBorder="1" applyAlignment="1">
      <alignment horizontal="center" wrapText="1"/>
    </xf>
    <xf numFmtId="0" fontId="152" fillId="0" borderId="80" xfId="0" applyFont="1" applyBorder="1" applyAlignment="1">
      <alignment wrapText="1"/>
    </xf>
    <xf numFmtId="0" fontId="152" fillId="0" borderId="1" xfId="0" applyFont="1" applyBorder="1" applyAlignment="1">
      <alignment horizontal="center" wrapText="1"/>
    </xf>
    <xf numFmtId="0" fontId="152" fillId="0" borderId="32" xfId="0" applyFont="1" applyBorder="1" applyAlignment="1">
      <alignment horizontal="center" wrapText="1"/>
    </xf>
    <xf numFmtId="0" fontId="152" fillId="0" borderId="50" xfId="0" applyFont="1" applyBorder="1" applyAlignment="1">
      <alignment wrapText="1"/>
    </xf>
    <xf numFmtId="0" fontId="152" fillId="0" borderId="36" xfId="0" applyFont="1" applyBorder="1" applyAlignment="1">
      <alignment horizontal="center"/>
    </xf>
    <xf numFmtId="0" fontId="152" fillId="0" borderId="38" xfId="0" applyFont="1" applyBorder="1" applyAlignment="1">
      <alignment horizontal="center" wrapText="1"/>
    </xf>
    <xf numFmtId="0" fontId="153" fillId="0" borderId="0" xfId="0" applyFont="1"/>
    <xf numFmtId="0" fontId="152" fillId="0" borderId="36" xfId="0" applyFont="1" applyBorder="1" applyAlignment="1">
      <alignment horizontal="center" wrapText="1"/>
    </xf>
    <xf numFmtId="0" fontId="152" fillId="0" borderId="42" xfId="0" applyFont="1" applyBorder="1" applyAlignment="1">
      <alignment wrapText="1"/>
    </xf>
    <xf numFmtId="0" fontId="152" fillId="0" borderId="37" xfId="0" applyFont="1" applyBorder="1" applyAlignment="1">
      <alignment horizontal="center" wrapText="1"/>
    </xf>
    <xf numFmtId="0" fontId="152" fillId="0" borderId="52" xfId="0" applyFont="1" applyBorder="1" applyAlignment="1">
      <alignment horizontal="center" wrapText="1"/>
    </xf>
    <xf numFmtId="0" fontId="152" fillId="0" borderId="45" xfId="0" applyFont="1" applyBorder="1" applyAlignment="1">
      <alignment wrapText="1"/>
    </xf>
    <xf numFmtId="0" fontId="152" fillId="0" borderId="29" xfId="0" applyFont="1" applyBorder="1" applyAlignment="1">
      <alignment horizontal="center" wrapText="1"/>
    </xf>
    <xf numFmtId="0" fontId="152" fillId="0" borderId="30" xfId="0" applyFont="1" applyBorder="1" applyAlignment="1">
      <alignment horizontal="center" wrapText="1"/>
    </xf>
    <xf numFmtId="0" fontId="35" fillId="0" borderId="25" xfId="0" applyFont="1" applyBorder="1"/>
    <xf numFmtId="0" fontId="152" fillId="0" borderId="79" xfId="0" applyFont="1" applyBorder="1" applyAlignment="1">
      <alignment horizontal="center" vertical="center" wrapText="1"/>
    </xf>
    <xf numFmtId="0" fontId="152" fillId="0" borderId="35" xfId="0" applyFont="1" applyBorder="1" applyAlignment="1">
      <alignment horizontal="center" vertical="center" wrapText="1"/>
    </xf>
    <xf numFmtId="0" fontId="35" fillId="0" borderId="49" xfId="0" applyFont="1" applyBorder="1"/>
    <xf numFmtId="0" fontId="152" fillId="0" borderId="48" xfId="0" applyFont="1" applyBorder="1" applyAlignment="1">
      <alignment horizontal="center" vertical="center" wrapText="1"/>
    </xf>
    <xf numFmtId="0" fontId="152" fillId="0" borderId="6" xfId="0" applyFont="1" applyBorder="1" applyAlignment="1">
      <alignment horizontal="center" vertical="center" wrapText="1"/>
    </xf>
    <xf numFmtId="0" fontId="35" fillId="0" borderId="31" xfId="0" applyFont="1" applyBorder="1"/>
    <xf numFmtId="0" fontId="35" fillId="0" borderId="38" xfId="0" applyFont="1" applyBorder="1"/>
    <xf numFmtId="0" fontId="35" fillId="0" borderId="32" xfId="0" applyFont="1" applyBorder="1" applyAlignment="1">
      <alignment vertical="center"/>
    </xf>
    <xf numFmtId="0" fontId="36" fillId="0" borderId="0" xfId="1507"/>
    <xf numFmtId="0" fontId="36" fillId="0" borderId="0" xfId="1507" applyFont="1"/>
    <xf numFmtId="0" fontId="155" fillId="0" borderId="64" xfId="1507" applyFont="1" applyBorder="1" applyAlignment="1">
      <alignment horizontal="center" vertical="center" wrapText="1"/>
    </xf>
    <xf numFmtId="0" fontId="155" fillId="0" borderId="36" xfId="1507" applyFont="1" applyBorder="1" applyAlignment="1">
      <alignment horizontal="center" vertical="center" wrapText="1"/>
    </xf>
    <xf numFmtId="0" fontId="155" fillId="0" borderId="38" xfId="1507" applyFont="1" applyBorder="1" applyAlignment="1">
      <alignment horizontal="center" vertical="center" wrapText="1"/>
    </xf>
    <xf numFmtId="0" fontId="36" fillId="0" borderId="81" xfId="1507" applyFont="1" applyBorder="1" applyAlignment="1">
      <alignment horizontal="center" vertical="center"/>
    </xf>
    <xf numFmtId="0" fontId="156" fillId="0" borderId="82" xfId="1507" applyFont="1" applyBorder="1" applyAlignment="1">
      <alignment horizontal="center" vertical="center"/>
    </xf>
    <xf numFmtId="0" fontId="36" fillId="0" borderId="82" xfId="1507" applyFont="1" applyBorder="1" applyAlignment="1">
      <alignment horizontal="center" vertical="center"/>
    </xf>
    <xf numFmtId="0" fontId="36" fillId="0" borderId="82" xfId="1507" applyNumberFormat="1" applyBorder="1" applyAlignment="1">
      <alignment horizontal="center" vertical="center"/>
    </xf>
    <xf numFmtId="0" fontId="36" fillId="0" borderId="76" xfId="1507" applyNumberFormat="1" applyFont="1" applyBorder="1" applyAlignment="1">
      <alignment horizontal="center" vertical="center"/>
    </xf>
    <xf numFmtId="0" fontId="36" fillId="0" borderId="83" xfId="1507" applyFont="1" applyBorder="1" applyAlignment="1">
      <alignment horizontal="center" vertical="center"/>
    </xf>
    <xf numFmtId="0" fontId="156" fillId="0" borderId="84" xfId="1507" applyFont="1" applyBorder="1" applyAlignment="1">
      <alignment horizontal="center" vertical="center"/>
    </xf>
    <xf numFmtId="0" fontId="36" fillId="0" borderId="84" xfId="1507" applyFont="1" applyBorder="1" applyAlignment="1">
      <alignment horizontal="center" vertical="center"/>
    </xf>
    <xf numFmtId="0" fontId="36" fillId="0" borderId="84" xfId="1507" applyNumberFormat="1" applyBorder="1" applyAlignment="1">
      <alignment horizontal="center" vertical="center"/>
    </xf>
    <xf numFmtId="0" fontId="157" fillId="0" borderId="85" xfId="1507" applyFont="1" applyBorder="1" applyAlignment="1">
      <alignment horizontal="center" vertical="center"/>
    </xf>
    <xf numFmtId="0" fontId="157" fillId="0" borderId="86" xfId="1507" applyFont="1" applyBorder="1" applyAlignment="1">
      <alignment horizontal="center" vertical="center"/>
    </xf>
    <xf numFmtId="0" fontId="36" fillId="0" borderId="76" xfId="1507" applyNumberFormat="1" applyBorder="1" applyAlignment="1">
      <alignment horizontal="center" vertical="center"/>
    </xf>
    <xf numFmtId="0" fontId="36" fillId="0" borderId="87" xfId="1507" applyNumberFormat="1" applyBorder="1" applyAlignment="1">
      <alignment horizontal="center" vertical="center"/>
    </xf>
    <xf numFmtId="0" fontId="157" fillId="0" borderId="88" xfId="1507" applyFont="1" applyBorder="1" applyAlignment="1">
      <alignment horizontal="center" vertical="center"/>
    </xf>
    <xf numFmtId="0" fontId="157" fillId="0" borderId="89" xfId="1507" applyFont="1" applyBorder="1" applyAlignment="1">
      <alignment horizontal="center" vertical="center"/>
    </xf>
    <xf numFmtId="4" fontId="35" fillId="0" borderId="0" xfId="0" applyNumberFormat="1" applyFont="1" applyFill="1" applyBorder="1" applyAlignment="1">
      <alignment horizontal="center" vertical="center"/>
    </xf>
    <xf numFmtId="0" fontId="150" fillId="0" borderId="35" xfId="0" applyFont="1" applyBorder="1" applyAlignment="1">
      <alignment horizontal="center" vertical="center"/>
    </xf>
    <xf numFmtId="0" fontId="150" fillId="0" borderId="35" xfId="0" applyFont="1" applyBorder="1" applyAlignment="1">
      <alignment horizontal="center" vertical="center" wrapText="1"/>
    </xf>
    <xf numFmtId="0" fontId="150" fillId="0" borderId="69" xfId="0" applyFont="1" applyBorder="1" applyAlignment="1">
      <alignment horizontal="center" vertical="center"/>
    </xf>
    <xf numFmtId="0" fontId="150" fillId="0" borderId="6" xfId="0" applyFont="1" applyBorder="1" applyAlignment="1">
      <alignment horizontal="center" vertical="center"/>
    </xf>
    <xf numFmtId="0" fontId="150" fillId="0" borderId="78" xfId="0" applyFont="1" applyBorder="1" applyAlignment="1">
      <alignment horizontal="center" vertical="center"/>
    </xf>
    <xf numFmtId="0" fontId="150" fillId="0" borderId="61" xfId="0" applyFont="1" applyBorder="1" applyAlignment="1">
      <alignment horizontal="center" vertical="center" wrapText="1"/>
    </xf>
    <xf numFmtId="0" fontId="150" fillId="0" borderId="67" xfId="0" applyFont="1" applyBorder="1" applyAlignment="1">
      <alignment horizontal="center" vertical="center" wrapText="1"/>
    </xf>
    <xf numFmtId="16" fontId="150" fillId="0" borderId="35" xfId="0" applyNumberFormat="1" applyFont="1" applyBorder="1" applyAlignment="1">
      <alignment horizontal="center" vertical="center"/>
    </xf>
    <xf numFmtId="0" fontId="150" fillId="2" borderId="35" xfId="0" applyFont="1" applyFill="1" applyBorder="1" applyAlignment="1">
      <alignment horizontal="center" vertical="center"/>
    </xf>
    <xf numFmtId="0" fontId="113" fillId="2" borderId="35" xfId="0" applyFont="1" applyFill="1" applyBorder="1" applyAlignment="1">
      <alignment horizontal="center" vertical="center"/>
    </xf>
    <xf numFmtId="0" fontId="150" fillId="2" borderId="69" xfId="0" applyFont="1" applyFill="1" applyBorder="1" applyAlignment="1">
      <alignment horizontal="center" vertical="center"/>
    </xf>
    <xf numFmtId="0" fontId="150" fillId="2" borderId="61" xfId="0" applyFont="1" applyFill="1" applyBorder="1" applyAlignment="1">
      <alignment horizontal="center" vertical="center"/>
    </xf>
    <xf numFmtId="0" fontId="150" fillId="2" borderId="35" xfId="0" applyFont="1" applyFill="1" applyBorder="1" applyAlignment="1">
      <alignment horizontal="center" vertical="center" wrapText="1"/>
    </xf>
    <xf numFmtId="0" fontId="150" fillId="2" borderId="6" xfId="0" applyFont="1" applyFill="1" applyBorder="1" applyAlignment="1">
      <alignment horizontal="center" vertical="center"/>
    </xf>
    <xf numFmtId="0" fontId="150" fillId="2" borderId="78" xfId="0" applyFont="1" applyFill="1" applyBorder="1" applyAlignment="1">
      <alignment horizontal="center" vertical="center"/>
    </xf>
    <xf numFmtId="0" fontId="150" fillId="2" borderId="61" xfId="0" applyFont="1" applyFill="1" applyBorder="1" applyAlignment="1">
      <alignment horizontal="center" vertical="center" wrapText="1"/>
    </xf>
    <xf numFmtId="0" fontId="150" fillId="2" borderId="67" xfId="0" applyFont="1" applyFill="1" applyBorder="1" applyAlignment="1">
      <alignment horizontal="center" vertical="center" wrapText="1"/>
    </xf>
    <xf numFmtId="4" fontId="150" fillId="2" borderId="6" xfId="0" applyNumberFormat="1" applyFont="1" applyFill="1" applyBorder="1" applyAlignment="1">
      <alignment vertical="center"/>
    </xf>
    <xf numFmtId="0" fontId="0" fillId="2" borderId="0" xfId="0" applyFill="1"/>
    <xf numFmtId="0" fontId="160" fillId="2" borderId="35" xfId="0" applyFont="1" applyFill="1" applyBorder="1" applyAlignment="1">
      <alignment horizontal="center" vertical="center"/>
    </xf>
    <xf numFmtId="0" fontId="35" fillId="3" borderId="6" xfId="0" applyFont="1" applyFill="1" applyBorder="1" applyAlignment="1">
      <alignment horizontal="center" vertical="center" wrapText="1"/>
    </xf>
    <xf numFmtId="0" fontId="40" fillId="3" borderId="6" xfId="0" applyFont="1" applyFill="1" applyBorder="1" applyAlignment="1">
      <alignment horizontal="center" vertical="center"/>
    </xf>
    <xf numFmtId="0" fontId="35" fillId="3" borderId="6" xfId="0" applyFont="1" applyFill="1" applyBorder="1" applyAlignment="1">
      <alignment horizontal="center" vertical="center"/>
    </xf>
    <xf numFmtId="4" fontId="35" fillId="3" borderId="6" xfId="0" applyNumberFormat="1" applyFont="1" applyFill="1" applyBorder="1" applyAlignment="1">
      <alignment horizontal="center" vertical="center"/>
    </xf>
    <xf numFmtId="4" fontId="35" fillId="3" borderId="6" xfId="0" applyNumberFormat="1" applyFont="1" applyFill="1" applyBorder="1" applyAlignment="1">
      <alignment horizontal="center" vertical="center" wrapText="1"/>
    </xf>
    <xf numFmtId="14" fontId="35" fillId="3" borderId="6" xfId="0" applyNumberFormat="1" applyFont="1" applyFill="1" applyBorder="1" applyAlignment="1">
      <alignment horizontal="center" vertical="center"/>
    </xf>
    <xf numFmtId="0" fontId="35" fillId="3" borderId="6" xfId="0" applyFont="1" applyFill="1" applyBorder="1" applyAlignment="1">
      <alignment wrapText="1"/>
    </xf>
    <xf numFmtId="4" fontId="35" fillId="3" borderId="6" xfId="0" applyNumberFormat="1" applyFont="1" applyFill="1" applyBorder="1" applyAlignment="1">
      <alignment vertical="center" wrapText="1"/>
    </xf>
    <xf numFmtId="0" fontId="0" fillId="3" borderId="0" xfId="0" applyFill="1"/>
    <xf numFmtId="0" fontId="153" fillId="0" borderId="6" xfId="0" applyFont="1" applyFill="1" applyBorder="1" applyAlignment="1">
      <alignment horizontal="center" vertical="center" wrapText="1"/>
    </xf>
    <xf numFmtId="0" fontId="153" fillId="0" borderId="35" xfId="0" applyFont="1" applyFill="1" applyBorder="1" applyAlignment="1">
      <alignment horizontal="center" vertical="center" wrapText="1"/>
    </xf>
    <xf numFmtId="0" fontId="41" fillId="0" borderId="35" xfId="0" applyFont="1" applyFill="1" applyBorder="1" applyAlignment="1">
      <alignment horizontal="center" vertical="center" wrapText="1"/>
    </xf>
    <xf numFmtId="9" fontId="153" fillId="0" borderId="6" xfId="0" applyNumberFormat="1" applyFont="1" applyFill="1" applyBorder="1" applyAlignment="1">
      <alignment horizontal="center" vertical="center" wrapText="1"/>
    </xf>
    <xf numFmtId="9" fontId="153" fillId="0" borderId="78" xfId="0" applyNumberFormat="1" applyFont="1" applyFill="1" applyBorder="1" applyAlignment="1">
      <alignment horizontal="center" vertical="center" wrapText="1"/>
    </xf>
    <xf numFmtId="9" fontId="153" fillId="0" borderId="61" xfId="0" applyNumberFormat="1" applyFont="1" applyFill="1" applyBorder="1" applyAlignment="1">
      <alignment horizontal="center" vertical="center" wrapText="1"/>
    </xf>
    <xf numFmtId="9" fontId="153" fillId="0" borderId="67" xfId="0" applyNumberFormat="1" applyFont="1" applyFill="1" applyBorder="1" applyAlignment="1">
      <alignment horizontal="center" vertical="center" wrapText="1"/>
    </xf>
    <xf numFmtId="4" fontId="153" fillId="0" borderId="35" xfId="0" applyNumberFormat="1" applyFont="1" applyFill="1" applyBorder="1" applyAlignment="1">
      <alignment horizontal="center" vertical="center" wrapText="1"/>
    </xf>
    <xf numFmtId="14" fontId="153" fillId="0" borderId="35" xfId="0" applyNumberFormat="1" applyFont="1" applyFill="1" applyBorder="1" applyAlignment="1">
      <alignment horizontal="center" vertical="center" wrapText="1"/>
    </xf>
    <xf numFmtId="9" fontId="153" fillId="0" borderId="35" xfId="0" applyNumberFormat="1" applyFont="1" applyFill="1" applyBorder="1" applyAlignment="1">
      <alignment horizontal="center" vertical="center" wrapText="1"/>
    </xf>
    <xf numFmtId="0" fontId="153" fillId="0" borderId="35" xfId="0" applyNumberFormat="1" applyFont="1" applyFill="1" applyBorder="1" applyAlignment="1">
      <alignment horizontal="center" vertical="center" wrapText="1"/>
    </xf>
    <xf numFmtId="0" fontId="153" fillId="0" borderId="6" xfId="0" applyFont="1" applyFill="1" applyBorder="1" applyAlignment="1">
      <alignment wrapText="1"/>
    </xf>
    <xf numFmtId="4" fontId="153" fillId="0" borderId="6" xfId="0" applyNumberFormat="1" applyFont="1" applyFill="1" applyBorder="1" applyAlignment="1">
      <alignment vertical="center" wrapText="1"/>
    </xf>
    <xf numFmtId="0" fontId="161" fillId="0" borderId="0" xfId="0" applyFont="1" applyFill="1"/>
    <xf numFmtId="0" fontId="41" fillId="0" borderId="6" xfId="0" applyFont="1" applyFill="1" applyBorder="1" applyAlignment="1">
      <alignment horizontal="center" vertical="center"/>
    </xf>
    <xf numFmtId="0" fontId="153" fillId="52" borderId="6" xfId="0" applyFont="1" applyFill="1" applyBorder="1" applyAlignment="1">
      <alignment horizontal="center" vertical="center"/>
    </xf>
    <xf numFmtId="0" fontId="153" fillId="0" borderId="6" xfId="0" applyFont="1" applyBorder="1" applyAlignment="1">
      <alignment horizontal="center" vertical="center"/>
    </xf>
    <xf numFmtId="0" fontId="153" fillId="0" borderId="6" xfId="0" applyFont="1" applyBorder="1" applyAlignment="1">
      <alignment horizontal="center" vertical="center" wrapText="1"/>
    </xf>
    <xf numFmtId="4" fontId="153" fillId="0" borderId="6" xfId="0" applyNumberFormat="1" applyFont="1" applyBorder="1" applyAlignment="1">
      <alignment horizontal="center" vertical="center"/>
    </xf>
    <xf numFmtId="14" fontId="153" fillId="0" borderId="6" xfId="0" applyNumberFormat="1" applyFont="1" applyBorder="1" applyAlignment="1">
      <alignment horizontal="center" vertical="center"/>
    </xf>
    <xf numFmtId="0" fontId="153" fillId="0" borderId="6" xfId="0" applyNumberFormat="1" applyFont="1" applyBorder="1" applyAlignment="1">
      <alignment horizontal="center" vertical="center"/>
    </xf>
    <xf numFmtId="0" fontId="153" fillId="0" borderId="6" xfId="0" applyFont="1" applyBorder="1"/>
    <xf numFmtId="4" fontId="153" fillId="0" borderId="6" xfId="0" applyNumberFormat="1" applyFont="1" applyBorder="1" applyAlignment="1">
      <alignment vertical="center"/>
    </xf>
    <xf numFmtId="0" fontId="41" fillId="52" borderId="6" xfId="0" applyFont="1" applyFill="1" applyBorder="1" applyAlignment="1">
      <alignment horizontal="center" vertical="center" wrapText="1"/>
    </xf>
    <xf numFmtId="0" fontId="162" fillId="0" borderId="6" xfId="0" applyFont="1" applyFill="1" applyBorder="1" applyAlignment="1">
      <alignment horizontal="center" vertical="center" wrapText="1"/>
    </xf>
    <xf numFmtId="203" fontId="153" fillId="0" borderId="6" xfId="0" applyNumberFormat="1" applyFont="1" applyFill="1" applyBorder="1" applyAlignment="1">
      <alignment horizontal="center" vertical="center" wrapText="1"/>
    </xf>
    <xf numFmtId="4" fontId="153" fillId="0" borderId="6" xfId="0" applyNumberFormat="1" applyFont="1" applyFill="1" applyBorder="1" applyAlignment="1">
      <alignment horizontal="center" vertical="center" wrapText="1"/>
    </xf>
    <xf numFmtId="14" fontId="153" fillId="0" borderId="6" xfId="0" applyNumberFormat="1" applyFont="1" applyFill="1" applyBorder="1" applyAlignment="1">
      <alignment horizontal="center" vertical="center" wrapText="1"/>
    </xf>
    <xf numFmtId="0" fontId="153" fillId="0" borderId="6" xfId="0" applyNumberFormat="1" applyFont="1" applyFill="1" applyBorder="1" applyAlignment="1">
      <alignment horizontal="center" vertical="center" wrapText="1"/>
    </xf>
    <xf numFmtId="0" fontId="153" fillId="52" borderId="6"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153" fillId="3" borderId="35" xfId="0" applyFont="1" applyFill="1" applyBorder="1" applyAlignment="1">
      <alignment horizontal="center" vertical="center" wrapText="1"/>
    </xf>
    <xf numFmtId="9" fontId="35" fillId="3" borderId="6" xfId="0" applyNumberFormat="1" applyFont="1" applyFill="1" applyBorder="1" applyAlignment="1">
      <alignment horizontal="center" vertical="center" wrapText="1"/>
    </xf>
    <xf numFmtId="9" fontId="153" fillId="3" borderId="67" xfId="0" applyNumberFormat="1" applyFont="1" applyFill="1" applyBorder="1" applyAlignment="1">
      <alignment horizontal="center" vertical="center" wrapText="1"/>
    </xf>
    <xf numFmtId="0" fontId="35" fillId="3" borderId="35" xfId="0" applyFont="1" applyFill="1" applyBorder="1" applyAlignment="1">
      <alignment horizontal="center" vertical="center" wrapText="1"/>
    </xf>
    <xf numFmtId="4" fontId="35" fillId="3" borderId="35" xfId="0" applyNumberFormat="1" applyFont="1" applyFill="1" applyBorder="1" applyAlignment="1">
      <alignment horizontal="center" vertical="center" wrapText="1"/>
    </xf>
    <xf numFmtId="14" fontId="153" fillId="3" borderId="35" xfId="0" applyNumberFormat="1" applyFont="1" applyFill="1" applyBorder="1" applyAlignment="1">
      <alignment horizontal="center" vertical="center" wrapText="1"/>
    </xf>
    <xf numFmtId="9" fontId="153" fillId="3" borderId="35" xfId="0" applyNumberFormat="1" applyFont="1" applyFill="1" applyBorder="1" applyAlignment="1">
      <alignment horizontal="center" vertical="center" wrapText="1"/>
    </xf>
    <xf numFmtId="0" fontId="153" fillId="3" borderId="6" xfId="0" applyFont="1" applyFill="1" applyBorder="1" applyAlignment="1">
      <alignment wrapText="1"/>
    </xf>
    <xf numFmtId="4" fontId="153" fillId="3" borderId="6" xfId="0" applyNumberFormat="1" applyFont="1" applyFill="1" applyBorder="1" applyAlignment="1">
      <alignment vertical="center" wrapText="1"/>
    </xf>
    <xf numFmtId="0" fontId="161" fillId="3" borderId="0" xfId="0" applyFont="1" applyFill="1"/>
    <xf numFmtId="0" fontId="150" fillId="2" borderId="35" xfId="0" applyNumberFormat="1" applyFont="1" applyFill="1" applyBorder="1" applyAlignment="1">
      <alignment horizontal="center" vertical="center" wrapText="1"/>
    </xf>
    <xf numFmtId="9" fontId="35" fillId="3" borderId="6" xfId="0" applyNumberFormat="1" applyFont="1" applyFill="1" applyBorder="1" applyAlignment="1">
      <alignment horizontal="center" vertical="center"/>
    </xf>
    <xf numFmtId="0" fontId="35" fillId="3" borderId="6" xfId="0" applyFont="1" applyFill="1" applyBorder="1"/>
    <xf numFmtId="4" fontId="35" fillId="3" borderId="6" xfId="0" applyNumberFormat="1" applyFont="1" applyFill="1" applyBorder="1" applyAlignment="1">
      <alignment vertical="center"/>
    </xf>
    <xf numFmtId="0" fontId="35" fillId="33" borderId="6" xfId="0" applyFont="1" applyFill="1" applyBorder="1" applyAlignment="1">
      <alignment horizontal="center" vertical="center"/>
    </xf>
    <xf numFmtId="0" fontId="35" fillId="33" borderId="6" xfId="0" applyFont="1" applyFill="1" applyBorder="1" applyAlignment="1">
      <alignment horizontal="center" vertical="center" wrapText="1"/>
    </xf>
    <xf numFmtId="4" fontId="35" fillId="33" borderId="6" xfId="0" applyNumberFormat="1" applyFont="1" applyFill="1" applyBorder="1" applyAlignment="1">
      <alignment horizontal="center" vertical="center"/>
    </xf>
    <xf numFmtId="14" fontId="35" fillId="33" borderId="6" xfId="0" applyNumberFormat="1" applyFont="1" applyFill="1" applyBorder="1" applyAlignment="1">
      <alignment horizontal="center" vertical="center"/>
    </xf>
    <xf numFmtId="0" fontId="35" fillId="33" borderId="6" xfId="0" applyNumberFormat="1" applyFont="1" applyFill="1" applyBorder="1" applyAlignment="1">
      <alignment horizontal="center" vertical="center"/>
    </xf>
    <xf numFmtId="0" fontId="35" fillId="33" borderId="6" xfId="0" applyFont="1" applyFill="1" applyBorder="1"/>
    <xf numFmtId="4" fontId="35" fillId="33" borderId="6" xfId="0" applyNumberFormat="1" applyFont="1" applyFill="1" applyBorder="1" applyAlignment="1">
      <alignment vertical="center"/>
    </xf>
    <xf numFmtId="4" fontId="35" fillId="33" borderId="6" xfId="0" applyNumberFormat="1" applyFont="1" applyFill="1" applyBorder="1" applyAlignment="1">
      <alignment vertical="center" wrapText="1"/>
    </xf>
    <xf numFmtId="0" fontId="0" fillId="33" borderId="0" xfId="0" applyFill="1"/>
    <xf numFmtId="0" fontId="40" fillId="3" borderId="6" xfId="0" applyFont="1" applyFill="1" applyBorder="1" applyAlignment="1">
      <alignment horizontal="center" vertical="center" wrapText="1"/>
    </xf>
    <xf numFmtId="0" fontId="34" fillId="3" borderId="0" xfId="0" applyFont="1" applyFill="1"/>
    <xf numFmtId="0" fontId="40" fillId="3" borderId="35" xfId="0" applyFont="1" applyFill="1" applyBorder="1" applyAlignment="1">
      <alignment horizontal="center" vertical="center" wrapText="1"/>
    </xf>
    <xf numFmtId="0" fontId="35" fillId="3" borderId="61" xfId="0" applyFont="1" applyFill="1" applyBorder="1" applyAlignment="1">
      <alignment horizontal="center" vertical="center" wrapText="1"/>
    </xf>
    <xf numFmtId="0" fontId="35" fillId="3" borderId="67" xfId="0" applyFont="1" applyFill="1" applyBorder="1"/>
    <xf numFmtId="4" fontId="35" fillId="3" borderId="35" xfId="0" applyNumberFormat="1" applyFont="1" applyFill="1" applyBorder="1" applyAlignment="1">
      <alignment horizontal="center" vertical="center"/>
    </xf>
    <xf numFmtId="0" fontId="35" fillId="3" borderId="35" xfId="0" applyFont="1" applyFill="1" applyBorder="1" applyAlignment="1">
      <alignment horizontal="center" vertical="center"/>
    </xf>
    <xf numFmtId="0" fontId="34" fillId="0" borderId="0" xfId="0" applyFont="1" applyFill="1"/>
    <xf numFmtId="0" fontId="34" fillId="52" borderId="0" xfId="0" applyFont="1" applyFill="1"/>
    <xf numFmtId="2" fontId="35" fillId="33" borderId="6" xfId="0" applyNumberFormat="1" applyFont="1" applyFill="1" applyBorder="1" applyAlignment="1">
      <alignment horizontal="center" vertical="center"/>
    </xf>
    <xf numFmtId="0" fontId="35" fillId="33" borderId="35" xfId="0" applyFont="1" applyFill="1" applyBorder="1" applyAlignment="1">
      <alignment horizontal="center" vertical="center" wrapText="1"/>
    </xf>
    <xf numFmtId="4" fontId="35" fillId="33" borderId="78" xfId="0" applyNumberFormat="1" applyFont="1" applyFill="1" applyBorder="1" applyAlignment="1">
      <alignment horizontal="center" vertical="center" wrapText="1"/>
    </xf>
    <xf numFmtId="4" fontId="35" fillId="33" borderId="6" xfId="0" applyNumberFormat="1" applyFont="1" applyFill="1" applyBorder="1" applyAlignment="1">
      <alignment horizontal="center" vertical="center" wrapText="1"/>
    </xf>
    <xf numFmtId="0" fontId="35" fillId="33" borderId="61" xfId="0" applyFont="1" applyFill="1" applyBorder="1" applyAlignment="1">
      <alignment horizontal="center" vertical="center" wrapText="1"/>
    </xf>
    <xf numFmtId="0" fontId="35" fillId="33" borderId="67" xfId="0" applyFont="1" applyFill="1" applyBorder="1"/>
    <xf numFmtId="0" fontId="35" fillId="33" borderId="35" xfId="0" applyFont="1" applyFill="1" applyBorder="1" applyAlignment="1">
      <alignment horizontal="center" vertical="center"/>
    </xf>
    <xf numFmtId="4" fontId="35" fillId="33" borderId="35" xfId="0" applyNumberFormat="1" applyFont="1" applyFill="1" applyBorder="1" applyAlignment="1">
      <alignment horizontal="center" vertical="center"/>
    </xf>
    <xf numFmtId="4" fontId="35" fillId="33" borderId="35" xfId="0" applyNumberFormat="1" applyFont="1" applyFill="1" applyBorder="1" applyAlignment="1">
      <alignment horizontal="center" vertical="center" wrapText="1"/>
    </xf>
    <xf numFmtId="9" fontId="35" fillId="33" borderId="35" xfId="0" applyNumberFormat="1" applyFont="1" applyFill="1" applyBorder="1" applyAlignment="1">
      <alignment horizontal="center" vertical="center" wrapText="1"/>
    </xf>
    <xf numFmtId="0" fontId="35" fillId="33" borderId="35" xfId="0" applyNumberFormat="1" applyFont="1" applyFill="1" applyBorder="1" applyAlignment="1">
      <alignment horizontal="center" vertical="center" wrapText="1"/>
    </xf>
    <xf numFmtId="0" fontId="35" fillId="33" borderId="6" xfId="0" applyFont="1" applyFill="1" applyBorder="1" applyAlignment="1">
      <alignment wrapText="1"/>
    </xf>
    <xf numFmtId="0" fontId="34" fillId="33" borderId="0" xfId="0" applyFont="1" applyFill="1"/>
    <xf numFmtId="1" fontId="35" fillId="3" borderId="6" xfId="0" applyNumberFormat="1" applyFont="1" applyFill="1" applyBorder="1" applyAlignment="1">
      <alignment horizontal="center" vertical="center" wrapText="1"/>
    </xf>
    <xf numFmtId="14" fontId="35" fillId="33" borderId="6" xfId="0" applyNumberFormat="1" applyFont="1" applyFill="1" applyBorder="1" applyAlignment="1">
      <alignment horizontal="center" vertical="center" wrapText="1"/>
    </xf>
    <xf numFmtId="0" fontId="0" fillId="33" borderId="0" xfId="0" applyFill="1" applyAlignment="1">
      <alignment wrapText="1"/>
    </xf>
    <xf numFmtId="0" fontId="35" fillId="3" borderId="69" xfId="0" applyFont="1" applyFill="1" applyBorder="1" applyAlignment="1">
      <alignment horizontal="center" vertical="center" wrapText="1"/>
    </xf>
    <xf numFmtId="4" fontId="35" fillId="3" borderId="78" xfId="0" applyNumberFormat="1" applyFont="1" applyFill="1" applyBorder="1" applyAlignment="1">
      <alignment horizontal="center" vertical="center" wrapText="1"/>
    </xf>
    <xf numFmtId="0" fontId="35" fillId="3" borderId="67" xfId="0" applyFont="1" applyFill="1" applyBorder="1" applyAlignment="1">
      <alignment horizontal="center" vertical="center" wrapText="1"/>
    </xf>
    <xf numFmtId="14" fontId="35" fillId="3" borderId="35" xfId="0" applyNumberFormat="1" applyFont="1" applyFill="1" applyBorder="1" applyAlignment="1">
      <alignment horizontal="center" vertical="center" wrapText="1"/>
    </xf>
    <xf numFmtId="0" fontId="0" fillId="3" borderId="0" xfId="0" applyFill="1" applyAlignment="1">
      <alignment wrapText="1"/>
    </xf>
    <xf numFmtId="0" fontId="35" fillId="0" borderId="6"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69" xfId="0" applyFont="1" applyFill="1" applyBorder="1" applyAlignment="1">
      <alignment horizontal="center" vertical="center" wrapText="1"/>
    </xf>
    <xf numFmtId="0" fontId="35" fillId="0" borderId="6" xfId="0" applyFont="1" applyFill="1" applyBorder="1" applyAlignment="1">
      <alignment horizontal="center" vertical="center"/>
    </xf>
    <xf numFmtId="4" fontId="35" fillId="0" borderId="78" xfId="0" applyNumberFormat="1" applyFont="1" applyFill="1" applyBorder="1" applyAlignment="1">
      <alignment horizontal="center" vertical="center" wrapText="1"/>
    </xf>
    <xf numFmtId="0" fontId="35" fillId="0" borderId="61" xfId="0" applyFont="1" applyFill="1" applyBorder="1" applyAlignment="1">
      <alignment horizontal="center" vertical="center" wrapText="1"/>
    </xf>
    <xf numFmtId="0" fontId="35" fillId="0" borderId="67" xfId="0" applyFont="1" applyFill="1" applyBorder="1" applyAlignment="1">
      <alignment horizontal="center" vertical="center" wrapText="1"/>
    </xf>
    <xf numFmtId="0" fontId="35" fillId="0" borderId="35" xfId="0" applyFont="1" applyBorder="1" applyAlignment="1">
      <alignment horizontal="center" vertical="center" wrapText="1"/>
    </xf>
    <xf numFmtId="4" fontId="35" fillId="0" borderId="35" xfId="0" applyNumberFormat="1" applyFont="1" applyFill="1" applyBorder="1" applyAlignment="1">
      <alignment horizontal="center" vertical="center" wrapText="1"/>
    </xf>
    <xf numFmtId="14" fontId="35" fillId="0" borderId="35" xfId="0" applyNumberFormat="1" applyFont="1" applyFill="1" applyBorder="1" applyAlignment="1">
      <alignment horizontal="center" vertical="center" wrapText="1"/>
    </xf>
    <xf numFmtId="0" fontId="35" fillId="0" borderId="35" xfId="0" applyNumberFormat="1" applyFont="1" applyFill="1" applyBorder="1" applyAlignment="1">
      <alignment horizontal="center" vertical="center" wrapText="1"/>
    </xf>
    <xf numFmtId="0" fontId="35" fillId="0" borderId="6" xfId="0" applyFont="1" applyFill="1" applyBorder="1" applyAlignment="1">
      <alignment wrapText="1"/>
    </xf>
    <xf numFmtId="4" fontId="35" fillId="0" borderId="6" xfId="0" applyNumberFormat="1" applyFont="1" applyFill="1" applyBorder="1" applyAlignment="1">
      <alignment vertical="center" wrapText="1"/>
    </xf>
    <xf numFmtId="0" fontId="0" fillId="0" borderId="0" xfId="0" applyFill="1" applyAlignment="1">
      <alignment wrapText="1"/>
    </xf>
    <xf numFmtId="0" fontId="35" fillId="0" borderId="61" xfId="0" applyFont="1" applyFill="1" applyBorder="1" applyAlignment="1">
      <alignment horizontal="center" vertical="center"/>
    </xf>
    <xf numFmtId="0" fontId="35" fillId="3" borderId="6" xfId="0" applyFont="1" applyFill="1" applyBorder="1" applyAlignment="1">
      <alignment horizontal="center" wrapText="1"/>
    </xf>
    <xf numFmtId="0" fontId="40" fillId="33" borderId="6" xfId="0" applyFont="1" applyFill="1" applyBorder="1" applyAlignment="1">
      <alignment horizontal="center" vertical="center" wrapText="1"/>
    </xf>
    <xf numFmtId="9" fontId="35" fillId="33" borderId="6" xfId="0" applyNumberFormat="1" applyFont="1" applyFill="1" applyBorder="1" applyAlignment="1">
      <alignment horizontal="center" vertical="center" wrapText="1"/>
    </xf>
    <xf numFmtId="0" fontId="0" fillId="52" borderId="0" xfId="0" applyFill="1"/>
    <xf numFmtId="4" fontId="35" fillId="0" borderId="6" xfId="0" applyNumberFormat="1" applyFont="1" applyFill="1" applyBorder="1" applyAlignment="1">
      <alignment horizontal="center" vertical="center" wrapText="1"/>
    </xf>
    <xf numFmtId="0" fontId="0" fillId="0" borderId="0" xfId="0" applyFill="1"/>
    <xf numFmtId="4" fontId="150" fillId="2" borderId="78" xfId="0" applyNumberFormat="1" applyFont="1" applyFill="1" applyBorder="1" applyAlignment="1">
      <alignment horizontal="center" vertical="center"/>
    </xf>
    <xf numFmtId="4" fontId="35" fillId="3" borderId="78" xfId="0" applyNumberFormat="1" applyFont="1" applyFill="1" applyBorder="1" applyAlignment="1">
      <alignment horizontal="center" vertical="center"/>
    </xf>
    <xf numFmtId="0" fontId="35" fillId="3" borderId="67" xfId="0" applyFont="1" applyFill="1" applyBorder="1" applyAlignment="1">
      <alignment wrapText="1"/>
    </xf>
    <xf numFmtId="14" fontId="35" fillId="3" borderId="35" xfId="0" applyNumberFormat="1" applyFont="1" applyFill="1" applyBorder="1" applyAlignment="1">
      <alignment horizontal="center" vertical="center"/>
    </xf>
    <xf numFmtId="0" fontId="163" fillId="0" borderId="6" xfId="0" applyFont="1" applyFill="1" applyBorder="1" applyAlignment="1">
      <alignment horizontal="center" vertical="center"/>
    </xf>
    <xf numFmtId="0" fontId="163" fillId="0" borderId="6" xfId="0" applyFont="1" applyBorder="1" applyAlignment="1">
      <alignment horizontal="center" vertical="center" wrapText="1"/>
    </xf>
    <xf numFmtId="0" fontId="163" fillId="0" borderId="6" xfId="0" applyFont="1" applyFill="1" applyBorder="1" applyAlignment="1">
      <alignment horizontal="center" vertical="center" wrapText="1"/>
    </xf>
    <xf numFmtId="49" fontId="163" fillId="0" borderId="6" xfId="0" applyNumberFormat="1" applyFont="1" applyFill="1" applyBorder="1" applyAlignment="1">
      <alignment horizontal="center" vertical="center"/>
    </xf>
    <xf numFmtId="49" fontId="163" fillId="0" borderId="6" xfId="0" applyNumberFormat="1" applyFont="1" applyFill="1" applyBorder="1" applyAlignment="1">
      <alignment horizontal="center" vertical="center" wrapText="1"/>
    </xf>
    <xf numFmtId="4" fontId="163" fillId="0" borderId="6" xfId="0" applyNumberFormat="1" applyFont="1" applyFill="1" applyBorder="1" applyAlignment="1">
      <alignment vertical="center" wrapText="1"/>
    </xf>
    <xf numFmtId="0" fontId="164" fillId="0" borderId="0" xfId="0" applyFont="1" applyFill="1"/>
    <xf numFmtId="0" fontId="35" fillId="33" borderId="6" xfId="0" applyFont="1" applyFill="1" applyBorder="1" applyAlignment="1">
      <alignment horizontal="center" wrapText="1"/>
    </xf>
    <xf numFmtId="0" fontId="157" fillId="0" borderId="6" xfId="0" applyFont="1" applyFill="1" applyBorder="1" applyAlignment="1">
      <alignment horizontal="center" vertical="center"/>
    </xf>
    <xf numFmtId="0" fontId="153" fillId="0" borderId="6" xfId="0" applyFont="1" applyFill="1" applyBorder="1" applyAlignment="1">
      <alignment horizontal="center" vertical="center"/>
    </xf>
    <xf numFmtId="0" fontId="153" fillId="0" borderId="6" xfId="0" applyFont="1" applyBorder="1" applyAlignment="1">
      <alignment horizontal="center" wrapText="1"/>
    </xf>
    <xf numFmtId="0" fontId="153" fillId="0" borderId="6" xfId="0" applyNumberFormat="1" applyFont="1" applyBorder="1"/>
    <xf numFmtId="0" fontId="161" fillId="0" borderId="0" xfId="0" applyFont="1"/>
    <xf numFmtId="0" fontId="153" fillId="0" borderId="6" xfId="0" applyFont="1" applyFill="1" applyBorder="1"/>
    <xf numFmtId="0" fontId="153" fillId="0" borderId="6" xfId="0" applyNumberFormat="1" applyFont="1" applyFill="1" applyBorder="1" applyAlignment="1">
      <alignment horizontal="center" vertical="center"/>
    </xf>
    <xf numFmtId="4" fontId="153" fillId="0" borderId="6" xfId="0" applyNumberFormat="1" applyFont="1" applyFill="1" applyBorder="1" applyAlignment="1">
      <alignment vertical="center"/>
    </xf>
    <xf numFmtId="0" fontId="153" fillId="0" borderId="6" xfId="0" applyFont="1" applyFill="1" applyBorder="1" applyAlignment="1">
      <alignment horizontal="center" wrapText="1"/>
    </xf>
    <xf numFmtId="4" fontId="35" fillId="0" borderId="35" xfId="0" applyNumberFormat="1" applyFont="1" applyFill="1" applyBorder="1" applyAlignment="1">
      <alignment horizontal="center" vertical="center"/>
    </xf>
    <xf numFmtId="0" fontId="35" fillId="0" borderId="6" xfId="0" applyFont="1" applyFill="1" applyBorder="1"/>
    <xf numFmtId="9" fontId="35" fillId="0" borderId="6" xfId="0" applyNumberFormat="1" applyFont="1" applyFill="1" applyBorder="1" applyAlignment="1">
      <alignment horizontal="center" vertical="center" wrapText="1"/>
    </xf>
    <xf numFmtId="2" fontId="0" fillId="0" borderId="0" xfId="0" applyNumberFormat="1"/>
    <xf numFmtId="0" fontId="36" fillId="0" borderId="82" xfId="1507" applyNumberFormat="1" applyFont="1" applyBorder="1" applyAlignment="1">
      <alignment horizontal="center" vertical="center"/>
    </xf>
    <xf numFmtId="0" fontId="36" fillId="0" borderId="84" xfId="1507" applyNumberFormat="1" applyFont="1" applyBorder="1" applyAlignment="1">
      <alignment horizontal="center" vertical="center"/>
    </xf>
    <xf numFmtId="0" fontId="36" fillId="0" borderId="87" xfId="1507" applyNumberFormat="1" applyFont="1" applyBorder="1" applyAlignment="1">
      <alignment horizontal="center" vertical="center"/>
    </xf>
    <xf numFmtId="0" fontId="36" fillId="0" borderId="82" xfId="1507" applyFont="1" applyFill="1" applyBorder="1" applyAlignment="1">
      <alignment horizontal="center" vertical="center"/>
    </xf>
    <xf numFmtId="0" fontId="36" fillId="0" borderId="84" xfId="1507" applyFont="1" applyFill="1" applyBorder="1" applyAlignment="1">
      <alignment horizontal="center" vertical="center"/>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5" fillId="0" borderId="90" xfId="0" applyFont="1" applyBorder="1" applyAlignment="1">
      <alignment horizontal="center" vertical="center"/>
    </xf>
    <xf numFmtId="0" fontId="166" fillId="0" borderId="91" xfId="0" applyFont="1" applyBorder="1" applyAlignment="1">
      <alignment horizontal="center" vertical="center"/>
    </xf>
    <xf numFmtId="4" fontId="166" fillId="0" borderId="45" xfId="0" applyNumberFormat="1" applyFont="1" applyBorder="1" applyAlignment="1">
      <alignment horizontal="center" vertical="center"/>
    </xf>
    <xf numFmtId="4" fontId="166" fillId="0" borderId="29" xfId="0" applyNumberFormat="1" applyFont="1" applyBorder="1" applyAlignment="1">
      <alignment horizontal="center" vertical="center"/>
    </xf>
    <xf numFmtId="4" fontId="166" fillId="0" borderId="92" xfId="0" applyNumberFormat="1" applyFont="1" applyBorder="1" applyAlignment="1">
      <alignment horizontal="center" vertical="center"/>
    </xf>
    <xf numFmtId="0" fontId="166" fillId="0" borderId="58" xfId="0" applyFont="1" applyBorder="1" applyAlignment="1">
      <alignment horizontal="center" vertical="center"/>
    </xf>
    <xf numFmtId="4" fontId="166" fillId="0" borderId="48" xfId="0" applyNumberFormat="1" applyFont="1" applyBorder="1" applyAlignment="1">
      <alignment horizontal="center" vertical="center"/>
    </xf>
    <xf numFmtId="4" fontId="166" fillId="0" borderId="6" xfId="0" applyNumberFormat="1" applyFont="1" applyBorder="1" applyAlignment="1">
      <alignment horizontal="center" vertical="center"/>
    </xf>
    <xf numFmtId="4" fontId="166" fillId="0" borderId="93" xfId="0" applyNumberFormat="1" applyFont="1" applyBorder="1" applyAlignment="1">
      <alignment horizontal="center" vertical="center"/>
    </xf>
    <xf numFmtId="0" fontId="166" fillId="0" borderId="62" xfId="0" applyFont="1" applyBorder="1" applyAlignment="1">
      <alignment horizontal="center" vertical="center"/>
    </xf>
    <xf numFmtId="4" fontId="166" fillId="0" borderId="50" xfId="0" applyNumberFormat="1" applyFont="1" applyBorder="1" applyAlignment="1">
      <alignment horizontal="center" vertical="center"/>
    </xf>
    <xf numFmtId="4" fontId="166" fillId="0" borderId="36" xfId="0" applyNumberFormat="1" applyFont="1" applyBorder="1" applyAlignment="1">
      <alignment horizontal="center" vertical="center"/>
    </xf>
    <xf numFmtId="4" fontId="166" fillId="0" borderId="90" xfId="0" applyNumberFormat="1" applyFont="1" applyBorder="1" applyAlignment="1">
      <alignment horizontal="center" vertical="center"/>
    </xf>
    <xf numFmtId="0" fontId="167" fillId="0" borderId="0" xfId="0" applyFont="1"/>
    <xf numFmtId="0" fontId="168" fillId="0" borderId="0" xfId="0" applyFont="1" applyAlignment="1">
      <alignment horizontal="center"/>
    </xf>
    <xf numFmtId="0" fontId="168" fillId="0" borderId="0" xfId="0" applyFont="1"/>
    <xf numFmtId="0" fontId="169" fillId="0" borderId="0" xfId="0" applyFont="1"/>
    <xf numFmtId="0" fontId="168" fillId="0" borderId="53" xfId="0" applyFont="1" applyBorder="1" applyAlignment="1">
      <alignment horizontal="center" wrapText="1"/>
    </xf>
    <xf numFmtId="0" fontId="168" fillId="0" borderId="0" xfId="0" applyFont="1" applyBorder="1" applyAlignment="1">
      <alignment horizontal="center" wrapText="1"/>
    </xf>
    <xf numFmtId="0" fontId="168" fillId="0" borderId="48" xfId="0" applyFont="1" applyBorder="1"/>
    <xf numFmtId="4" fontId="168" fillId="0" borderId="6" xfId="0" applyNumberFormat="1" applyFont="1" applyBorder="1"/>
    <xf numFmtId="4" fontId="168" fillId="0" borderId="35" xfId="0" applyNumberFormat="1" applyFont="1" applyBorder="1"/>
    <xf numFmtId="4" fontId="168" fillId="0" borderId="49" xfId="0" applyNumberFormat="1" applyFont="1" applyBorder="1"/>
    <xf numFmtId="4" fontId="168" fillId="0" borderId="0" xfId="0" applyNumberFormat="1" applyFont="1" applyBorder="1"/>
    <xf numFmtId="0" fontId="170" fillId="0" borderId="50" xfId="0" applyFont="1" applyBorder="1"/>
    <xf numFmtId="4" fontId="171" fillId="0" borderId="36" xfId="0" applyNumberFormat="1" applyFont="1" applyBorder="1"/>
    <xf numFmtId="4" fontId="171" fillId="0" borderId="38" xfId="0" applyNumberFormat="1" applyFont="1" applyBorder="1"/>
    <xf numFmtId="4" fontId="171" fillId="0" borderId="0" xfId="0" applyNumberFormat="1" applyFont="1" applyBorder="1"/>
    <xf numFmtId="0" fontId="168" fillId="0" borderId="53" xfId="0" applyFont="1" applyBorder="1" applyAlignment="1">
      <alignment horizontal="center" vertical="center" wrapText="1"/>
    </xf>
    <xf numFmtId="0" fontId="0" fillId="0" borderId="0" xfId="0" applyAlignment="1">
      <alignment vertical="center"/>
    </xf>
    <xf numFmtId="0" fontId="168" fillId="0" borderId="0" xfId="0" applyFont="1" applyBorder="1" applyAlignment="1">
      <alignment horizontal="center" vertical="center" wrapText="1"/>
    </xf>
    <xf numFmtId="0" fontId="171" fillId="0" borderId="50" xfId="0" applyFont="1" applyBorder="1"/>
    <xf numFmtId="0" fontId="168" fillId="0" borderId="0" xfId="0" applyFont="1" applyAlignment="1"/>
    <xf numFmtId="0" fontId="168" fillId="0" borderId="0" xfId="0" applyFont="1" applyAlignment="1">
      <alignment horizontal="right"/>
    </xf>
    <xf numFmtId="0" fontId="171" fillId="0" borderId="48" xfId="0" applyFont="1" applyBorder="1"/>
    <xf numFmtId="0" fontId="33" fillId="0" borderId="0" xfId="0" applyFont="1"/>
    <xf numFmtId="0" fontId="168" fillId="0" borderId="79" xfId="0" applyFont="1" applyBorder="1"/>
    <xf numFmtId="0" fontId="0" fillId="0" borderId="49" xfId="0" applyBorder="1"/>
    <xf numFmtId="2" fontId="8" fillId="0" borderId="31" xfId="0" applyNumberFormat="1" applyFont="1" applyBorder="1"/>
    <xf numFmtId="0" fontId="0" fillId="0" borderId="38" xfId="0" applyBorder="1"/>
    <xf numFmtId="0" fontId="169" fillId="0" borderId="0" xfId="0" applyFont="1" applyAlignment="1">
      <alignment horizontal="right"/>
    </xf>
    <xf numFmtId="0" fontId="169" fillId="0" borderId="0" xfId="0" applyFont="1" applyAlignment="1">
      <alignment horizontal="center"/>
    </xf>
    <xf numFmtId="0" fontId="172" fillId="0" borderId="48" xfId="0" applyFont="1" applyBorder="1"/>
    <xf numFmtId="4" fontId="169" fillId="0" borderId="6" xfId="0" applyNumberFormat="1" applyFont="1" applyBorder="1"/>
    <xf numFmtId="4" fontId="169" fillId="0" borderId="35" xfId="0" applyNumberFormat="1" applyFont="1" applyBorder="1"/>
    <xf numFmtId="4" fontId="173" fillId="0" borderId="35" xfId="0" applyNumberFormat="1" applyFont="1" applyBorder="1"/>
    <xf numFmtId="4" fontId="173" fillId="0" borderId="49" xfId="0" applyNumberFormat="1" applyFont="1" applyBorder="1"/>
    <xf numFmtId="0" fontId="174" fillId="0" borderId="0" xfId="1182" applyFont="1" applyAlignment="1" applyProtection="1">
      <alignment horizontal="right" vertical="center"/>
    </xf>
    <xf numFmtId="0" fontId="151" fillId="0" borderId="0" xfId="0" applyFont="1" applyAlignment="1">
      <alignment horizontal="justify" wrapText="1"/>
    </xf>
    <xf numFmtId="0" fontId="35" fillId="0" borderId="0" xfId="0" applyFont="1" applyAlignment="1">
      <alignment horizontal="justify" wrapText="1"/>
    </xf>
    <xf numFmtId="0" fontId="175" fillId="0" borderId="0" xfId="0" applyFont="1" applyAlignment="1">
      <alignment horizontal="justify" wrapText="1"/>
    </xf>
    <xf numFmtId="0" fontId="35" fillId="0" borderId="0" xfId="0" applyFont="1" applyAlignment="1">
      <alignment horizontal="justify"/>
    </xf>
    <xf numFmtId="0" fontId="177" fillId="0" borderId="0" xfId="0" applyFont="1"/>
    <xf numFmtId="0" fontId="177" fillId="0" borderId="0" xfId="0" applyFont="1" applyAlignment="1">
      <alignment horizontal="right"/>
    </xf>
    <xf numFmtId="0" fontId="180" fillId="0" borderId="0" xfId="0" applyFont="1" applyFill="1" applyBorder="1" applyAlignment="1">
      <alignment horizontal="left" vertical="top" wrapText="1" indent="1"/>
    </xf>
    <xf numFmtId="49" fontId="32"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xf numFmtId="1" fontId="32" fillId="0" borderId="6" xfId="0" applyNumberFormat="1" applyFont="1" applyFill="1" applyBorder="1" applyAlignment="1">
      <alignment horizontal="center" vertical="top" wrapText="1"/>
    </xf>
    <xf numFmtId="0" fontId="32" fillId="0" borderId="6" xfId="0" applyFont="1" applyFill="1" applyBorder="1" applyAlignment="1">
      <alignment horizontal="left" vertical="top" wrapText="1"/>
    </xf>
    <xf numFmtId="0" fontId="32" fillId="0" borderId="6" xfId="0" applyFont="1" applyFill="1" applyBorder="1" applyAlignment="1">
      <alignment vertical="top" wrapText="1"/>
    </xf>
    <xf numFmtId="0" fontId="181" fillId="0" borderId="6" xfId="0" applyFont="1" applyFill="1" applyBorder="1" applyAlignment="1">
      <alignment vertical="top" wrapText="1"/>
    </xf>
    <xf numFmtId="0" fontId="181" fillId="0" borderId="6" xfId="0" applyFont="1" applyFill="1" applyBorder="1" applyAlignment="1">
      <alignment horizontal="left" vertical="top"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center"/>
    </xf>
    <xf numFmtId="0" fontId="88" fillId="0" borderId="6" xfId="1184" applyFill="1" applyBorder="1" applyAlignment="1" applyProtection="1">
      <alignment horizontal="center" vertical="center" wrapText="1"/>
    </xf>
    <xf numFmtId="1" fontId="32" fillId="0" borderId="34" xfId="0" applyNumberFormat="1" applyFont="1" applyFill="1" applyBorder="1" applyAlignment="1">
      <alignment horizontal="center" vertical="top" wrapText="1"/>
    </xf>
    <xf numFmtId="14" fontId="177" fillId="0" borderId="6" xfId="0" applyNumberFormat="1" applyFont="1" applyFill="1" applyBorder="1" applyAlignment="1">
      <alignment horizontal="center" vertical="center" wrapText="1"/>
    </xf>
    <xf numFmtId="14" fontId="0" fillId="0" borderId="6" xfId="0" applyNumberFormat="1" applyFill="1" applyBorder="1" applyAlignment="1">
      <alignment horizontal="center" vertical="center" wrapText="1"/>
    </xf>
    <xf numFmtId="0" fontId="177" fillId="0" borderId="6" xfId="0" applyFont="1" applyFill="1" applyBorder="1" applyAlignment="1">
      <alignment horizontal="center" vertical="center" wrapText="1"/>
    </xf>
    <xf numFmtId="0" fontId="31" fillId="0" borderId="0" xfId="1500" applyFont="1" applyFill="1" applyBorder="1" applyAlignment="1">
      <alignment horizontal="center" wrapText="1"/>
    </xf>
    <xf numFmtId="0" fontId="88" fillId="0" borderId="0" xfId="1184" applyFill="1" applyBorder="1" applyAlignment="1" applyProtection="1">
      <alignment horizontal="center" wrapText="1"/>
    </xf>
    <xf numFmtId="0" fontId="31" fillId="0" borderId="0" xfId="1500" applyFont="1" applyFill="1" applyBorder="1" applyAlignment="1">
      <alignment horizontal="right" wrapText="1"/>
    </xf>
    <xf numFmtId="0" fontId="183" fillId="0" borderId="0" xfId="1500" applyFont="1" applyFill="1" applyBorder="1" applyAlignment="1">
      <alignment horizontal="left" wrapText="1"/>
    </xf>
    <xf numFmtId="0" fontId="183" fillId="0" borderId="0" xfId="1500" applyFont="1" applyFill="1" applyBorder="1" applyAlignment="1">
      <alignment horizontal="right" wrapText="1"/>
    </xf>
    <xf numFmtId="0" fontId="31" fillId="0" borderId="0" xfId="1500" applyFont="1" applyFill="1" applyBorder="1" applyAlignment="1">
      <alignment horizontal="left" wrapText="1"/>
    </xf>
    <xf numFmtId="0" fontId="31" fillId="0" borderId="0" xfId="1500" applyFont="1" applyFill="1" applyBorder="1" applyAlignment="1">
      <alignment wrapText="1"/>
    </xf>
    <xf numFmtId="0" fontId="184" fillId="0" borderId="0" xfId="1500" applyFont="1" applyFill="1" applyBorder="1" applyAlignment="1">
      <alignment wrapText="1"/>
    </xf>
    <xf numFmtId="0" fontId="185" fillId="0" borderId="0" xfId="1500" applyFont="1" applyFill="1" applyBorder="1" applyAlignment="1">
      <alignment horizontal="center"/>
    </xf>
    <xf numFmtId="0" fontId="31" fillId="0" borderId="6" xfId="1500" applyFont="1" applyFill="1" applyBorder="1" applyAlignment="1">
      <alignment horizontal="center" vertical="top" wrapText="1"/>
    </xf>
    <xf numFmtId="0" fontId="31" fillId="0" borderId="6" xfId="1500" applyFont="1" applyFill="1" applyBorder="1" applyAlignment="1">
      <alignment vertical="top" wrapText="1"/>
    </xf>
    <xf numFmtId="14" fontId="31" fillId="0" borderId="6" xfId="1500" applyNumberFormat="1" applyFont="1" applyFill="1" applyBorder="1" applyAlignment="1">
      <alignment horizontal="center" vertical="top" wrapText="1"/>
    </xf>
    <xf numFmtId="0" fontId="183" fillId="0" borderId="6" xfId="1500" applyFont="1" applyFill="1" applyBorder="1" applyAlignment="1">
      <alignment horizontal="center" vertical="top" wrapText="1"/>
    </xf>
    <xf numFmtId="0" fontId="183" fillId="0" borderId="6" xfId="1500" applyFont="1" applyFill="1" applyBorder="1" applyAlignment="1">
      <alignment vertical="top" wrapText="1"/>
    </xf>
    <xf numFmtId="14" fontId="183" fillId="0" borderId="6" xfId="1500" applyNumberFormat="1" applyFont="1" applyFill="1" applyBorder="1" applyAlignment="1">
      <alignment horizontal="center" vertical="top" wrapText="1"/>
    </xf>
    <xf numFmtId="0" fontId="183" fillId="0" borderId="6" xfId="1500" applyFont="1" applyFill="1" applyBorder="1" applyAlignment="1">
      <alignment horizontal="right" vertical="top" wrapText="1"/>
    </xf>
    <xf numFmtId="3" fontId="183" fillId="0" borderId="6" xfId="1500" applyNumberFormat="1" applyFont="1" applyFill="1" applyBorder="1" applyAlignment="1">
      <alignment horizontal="right" vertical="top" wrapText="1"/>
    </xf>
    <xf numFmtId="0" fontId="183" fillId="0" borderId="0" xfId="1500" applyFont="1" applyFill="1" applyBorder="1" applyAlignment="1">
      <alignment wrapText="1"/>
    </xf>
    <xf numFmtId="3" fontId="183" fillId="0" borderId="6" xfId="1500" applyNumberFormat="1" applyFont="1" applyFill="1" applyBorder="1" applyAlignment="1">
      <alignment horizontal="right" wrapText="1"/>
    </xf>
    <xf numFmtId="0" fontId="31" fillId="0" borderId="6" xfId="1500" applyFont="1" applyFill="1" applyBorder="1" applyAlignment="1">
      <alignment horizontal="center" wrapText="1"/>
    </xf>
    <xf numFmtId="3" fontId="31" fillId="0" borderId="6" xfId="1500" applyNumberFormat="1" applyFont="1" applyFill="1" applyBorder="1" applyAlignment="1">
      <alignment horizontal="right" vertical="top" wrapText="1"/>
    </xf>
    <xf numFmtId="0" fontId="31" fillId="0" borderId="6" xfId="1500" applyFont="1" applyFill="1" applyBorder="1" applyAlignment="1">
      <alignment wrapText="1"/>
    </xf>
    <xf numFmtId="3" fontId="31" fillId="0" borderId="6" xfId="1500" applyNumberFormat="1" applyFont="1" applyFill="1" applyBorder="1" applyAlignment="1">
      <alignment horizontal="right" wrapText="1"/>
    </xf>
    <xf numFmtId="14" fontId="31" fillId="0" borderId="6" xfId="1500" applyNumberFormat="1" applyFont="1" applyFill="1" applyBorder="1" applyAlignment="1">
      <alignment horizontal="center" wrapText="1"/>
    </xf>
    <xf numFmtId="3" fontId="183" fillId="0" borderId="0" xfId="1500" applyNumberFormat="1" applyFont="1" applyFill="1" applyBorder="1" applyAlignment="1">
      <alignment horizontal="right" wrapText="1"/>
    </xf>
    <xf numFmtId="0" fontId="31" fillId="0" borderId="0" xfId="1496" applyFont="1" applyFill="1" applyBorder="1" applyAlignment="1">
      <alignment horizontal="center" wrapText="1"/>
    </xf>
    <xf numFmtId="0" fontId="31" fillId="0" borderId="0" xfId="1496" applyFont="1" applyFill="1" applyBorder="1" applyAlignment="1">
      <alignment wrapText="1"/>
    </xf>
    <xf numFmtId="0" fontId="31" fillId="0" borderId="0" xfId="1496" applyFont="1" applyFill="1" applyBorder="1" applyAlignment="1">
      <alignment horizontal="right" wrapText="1"/>
    </xf>
    <xf numFmtId="0" fontId="183" fillId="0" borderId="0" xfId="1496" applyFont="1" applyFill="1" applyBorder="1" applyAlignment="1">
      <alignment horizontal="right" wrapText="1"/>
    </xf>
    <xf numFmtId="0" fontId="31" fillId="0" borderId="0" xfId="1496" applyFont="1" applyFill="1" applyBorder="1" applyAlignment="1">
      <alignment horizontal="left" wrapText="1"/>
    </xf>
    <xf numFmtId="0" fontId="185" fillId="0" borderId="0" xfId="1496" applyFont="1" applyFill="1" applyBorder="1" applyAlignment="1">
      <alignment horizontal="center"/>
    </xf>
    <xf numFmtId="0" fontId="31" fillId="0" borderId="6" xfId="1496" applyFont="1" applyFill="1" applyBorder="1" applyAlignment="1">
      <alignment horizontal="center" vertical="top" wrapText="1"/>
    </xf>
    <xf numFmtId="0" fontId="31" fillId="0" borderId="6" xfId="1496" applyFont="1" applyFill="1" applyBorder="1" applyAlignment="1">
      <alignment vertical="top" wrapText="1"/>
    </xf>
    <xf numFmtId="14" fontId="31" fillId="0" borderId="6" xfId="1496" applyNumberFormat="1" applyFont="1" applyFill="1" applyBorder="1" applyAlignment="1">
      <alignment horizontal="center" vertical="top" wrapText="1"/>
    </xf>
    <xf numFmtId="0" fontId="183" fillId="2" borderId="6" xfId="1496" applyFont="1" applyFill="1" applyBorder="1" applyAlignment="1">
      <alignment horizontal="center" vertical="top" wrapText="1"/>
    </xf>
    <xf numFmtId="0" fontId="31" fillId="2" borderId="6" xfId="1496" applyFont="1" applyFill="1" applyBorder="1" applyAlignment="1">
      <alignment vertical="top" wrapText="1"/>
    </xf>
    <xf numFmtId="14" fontId="31" fillId="2" borderId="6" xfId="1496" applyNumberFormat="1" applyFont="1" applyFill="1" applyBorder="1" applyAlignment="1">
      <alignment horizontal="center" vertical="top" wrapText="1"/>
    </xf>
    <xf numFmtId="0" fontId="31" fillId="2" borderId="6" xfId="1496" applyFont="1" applyFill="1" applyBorder="1" applyAlignment="1">
      <alignment horizontal="center" vertical="top" wrapText="1"/>
    </xf>
    <xf numFmtId="0" fontId="31" fillId="2" borderId="6" xfId="1496" applyFont="1" applyFill="1" applyBorder="1" applyAlignment="1">
      <alignment horizontal="center" wrapText="1"/>
    </xf>
    <xf numFmtId="0" fontId="31" fillId="0" borderId="6" xfId="1496" applyFont="1" applyFill="1" applyBorder="1" applyAlignment="1">
      <alignment wrapText="1"/>
    </xf>
    <xf numFmtId="0" fontId="31" fillId="0" borderId="6" xfId="1496" applyFont="1" applyFill="1" applyBorder="1" applyAlignment="1">
      <alignment horizontal="center" wrapText="1"/>
    </xf>
    <xf numFmtId="0" fontId="183" fillId="0" borderId="0" xfId="1496" applyFont="1" applyFill="1" applyBorder="1" applyAlignment="1">
      <alignment wrapText="1"/>
    </xf>
    <xf numFmtId="0" fontId="183" fillId="0" borderId="0" xfId="1496" applyFont="1" applyFill="1" applyBorder="1" applyAlignment="1">
      <alignment horizontal="left" wrapText="1"/>
    </xf>
    <xf numFmtId="0" fontId="183" fillId="2" borderId="6" xfId="1496" applyFont="1" applyFill="1" applyBorder="1" applyAlignment="1">
      <alignment vertical="top" wrapText="1"/>
    </xf>
    <xf numFmtId="14" fontId="183" fillId="2" borderId="6" xfId="1496" applyNumberFormat="1" applyFont="1" applyFill="1" applyBorder="1" applyAlignment="1">
      <alignment horizontal="center" vertical="top" wrapText="1"/>
    </xf>
    <xf numFmtId="0" fontId="186" fillId="2" borderId="0" xfId="1496" applyFont="1" applyFill="1"/>
    <xf numFmtId="0" fontId="31" fillId="2" borderId="0" xfId="1496" applyFont="1" applyFill="1" applyBorder="1" applyAlignment="1">
      <alignment horizontal="center" wrapText="1"/>
    </xf>
    <xf numFmtId="0" fontId="168" fillId="2" borderId="0" xfId="1496" applyFont="1" applyFill="1"/>
    <xf numFmtId="0" fontId="187" fillId="0" borderId="0" xfId="0" applyFont="1" applyAlignment="1">
      <alignment horizontal="left"/>
    </xf>
    <xf numFmtId="0" fontId="188" fillId="0" borderId="0" xfId="0" applyFont="1" applyAlignment="1">
      <alignment horizontal="left"/>
    </xf>
    <xf numFmtId="0" fontId="189" fillId="0" borderId="0" xfId="0" applyFont="1" applyAlignment="1">
      <alignment horizontal="right"/>
    </xf>
    <xf numFmtId="0" fontId="189" fillId="0" borderId="94" xfId="0" applyFont="1" applyBorder="1" applyAlignment="1">
      <alignment horizontal="center" wrapText="1"/>
    </xf>
    <xf numFmtId="0" fontId="190" fillId="0" borderId="47" xfId="0" applyFont="1" applyBorder="1" applyAlignment="1">
      <alignment horizontal="center" wrapText="1"/>
    </xf>
    <xf numFmtId="0" fontId="189" fillId="0" borderId="95" xfId="0" applyFont="1" applyBorder="1" applyAlignment="1">
      <alignment horizontal="center" wrapText="1"/>
    </xf>
    <xf numFmtId="0" fontId="190" fillId="0" borderId="33" xfId="0" applyFont="1" applyBorder="1" applyAlignment="1">
      <alignment horizontal="center" wrapText="1"/>
    </xf>
    <xf numFmtId="0" fontId="0" fillId="0" borderId="95" xfId="0" applyBorder="1" applyAlignment="1">
      <alignment wrapText="1"/>
    </xf>
    <xf numFmtId="0" fontId="0" fillId="0" borderId="33" xfId="0" applyBorder="1" applyAlignment="1">
      <alignment wrapText="1"/>
    </xf>
    <xf numFmtId="0" fontId="0" fillId="0" borderId="96" xfId="0" applyBorder="1" applyAlignment="1">
      <alignment wrapText="1"/>
    </xf>
    <xf numFmtId="0" fontId="190" fillId="0" borderId="96" xfId="0" applyFont="1" applyBorder="1" applyAlignment="1">
      <alignment horizontal="center" wrapText="1"/>
    </xf>
    <xf numFmtId="0" fontId="0" fillId="0" borderId="97" xfId="0" applyBorder="1" applyAlignment="1">
      <alignment wrapText="1"/>
    </xf>
    <xf numFmtId="0" fontId="189" fillId="0" borderId="96" xfId="0" applyFont="1" applyBorder="1" applyAlignment="1">
      <alignment horizontal="center" wrapText="1"/>
    </xf>
    <xf numFmtId="0" fontId="0" fillId="0" borderId="98" xfId="0" applyBorder="1" applyAlignment="1">
      <alignment wrapText="1"/>
    </xf>
    <xf numFmtId="0" fontId="191" fillId="0" borderId="99" xfId="0" applyFont="1" applyBorder="1" applyAlignment="1">
      <alignment horizontal="center" wrapText="1"/>
    </xf>
    <xf numFmtId="0" fontId="191" fillId="0" borderId="96" xfId="0" applyFont="1" applyBorder="1" applyAlignment="1">
      <alignment horizontal="center" wrapText="1"/>
    </xf>
    <xf numFmtId="0" fontId="192" fillId="0" borderId="96" xfId="0" applyFont="1" applyBorder="1" applyAlignment="1">
      <alignment horizontal="center" wrapText="1"/>
    </xf>
    <xf numFmtId="0" fontId="192" fillId="0" borderId="99" xfId="0" applyFont="1" applyBorder="1" applyAlignment="1">
      <alignment horizontal="center" wrapText="1"/>
    </xf>
    <xf numFmtId="0" fontId="192" fillId="0" borderId="96" xfId="0" applyFont="1" applyBorder="1" applyAlignment="1">
      <alignment vertical="top" wrapText="1"/>
    </xf>
    <xf numFmtId="0" fontId="177" fillId="0" borderId="0" xfId="0" applyFont="1" applyAlignment="1">
      <alignment horizontal="left"/>
    </xf>
    <xf numFmtId="0" fontId="177" fillId="0" borderId="0" xfId="0" applyFont="1" applyAlignment="1">
      <alignment horizontal="left" indent="8"/>
    </xf>
    <xf numFmtId="0" fontId="0" fillId="0" borderId="0" xfId="0" applyAlignment="1">
      <alignment horizontal="left"/>
    </xf>
    <xf numFmtId="0" fontId="188" fillId="0" borderId="0" xfId="0" applyFont="1" applyAlignment="1">
      <alignment horizontal="center"/>
    </xf>
    <xf numFmtId="0" fontId="5" fillId="0" borderId="94" xfId="0" applyFont="1" applyBorder="1" applyAlignment="1">
      <alignment horizontal="center" wrapText="1"/>
    </xf>
    <xf numFmtId="0" fontId="193" fillId="0" borderId="47" xfId="0" applyFont="1" applyBorder="1" applyAlignment="1">
      <alignment horizontal="center"/>
    </xf>
    <xf numFmtId="0" fontId="5" fillId="0" borderId="99" xfId="0" applyFont="1" applyBorder="1" applyAlignment="1">
      <alignment horizontal="center" wrapText="1"/>
    </xf>
    <xf numFmtId="0" fontId="194" fillId="0" borderId="96" xfId="0" applyFont="1" applyBorder="1" applyAlignment="1">
      <alignment horizontal="center"/>
    </xf>
    <xf numFmtId="0" fontId="195" fillId="0" borderId="95" xfId="0" applyFont="1" applyBorder="1" applyAlignment="1">
      <alignment wrapText="1"/>
    </xf>
    <xf numFmtId="0" fontId="196" fillId="0" borderId="94" xfId="0" applyFont="1" applyBorder="1" applyAlignment="1">
      <alignment horizontal="center" wrapText="1"/>
    </xf>
    <xf numFmtId="0" fontId="195" fillId="0" borderId="99" xfId="0" applyFont="1" applyBorder="1" applyAlignment="1">
      <alignment wrapText="1"/>
    </xf>
    <xf numFmtId="0" fontId="196" fillId="0" borderId="99" xfId="0" applyFont="1" applyBorder="1" applyAlignment="1">
      <alignment horizontal="center" wrapText="1"/>
    </xf>
    <xf numFmtId="0" fontId="195" fillId="0" borderId="99" xfId="0" applyFont="1" applyBorder="1" applyAlignment="1">
      <alignment horizontal="left" wrapText="1" indent="1"/>
    </xf>
    <xf numFmtId="0" fontId="177" fillId="0" borderId="96" xfId="0" applyFont="1" applyBorder="1" applyAlignment="1">
      <alignment horizontal="center" wrapText="1"/>
    </xf>
    <xf numFmtId="0" fontId="196" fillId="0" borderId="96" xfId="0" applyFont="1" applyBorder="1" applyAlignment="1">
      <alignment horizontal="center" wrapText="1"/>
    </xf>
    <xf numFmtId="0" fontId="195" fillId="0" borderId="99" xfId="0" applyFont="1" applyBorder="1"/>
    <xf numFmtId="0" fontId="177" fillId="0" borderId="99" xfId="0" applyFont="1" applyBorder="1"/>
    <xf numFmtId="0" fontId="187" fillId="0" borderId="0" xfId="0" applyFont="1" applyAlignment="1">
      <alignment horizontal="center"/>
    </xf>
    <xf numFmtId="0" fontId="193" fillId="0" borderId="53" xfId="0" applyFont="1" applyBorder="1" applyAlignment="1">
      <alignment horizontal="center" wrapText="1"/>
    </xf>
    <xf numFmtId="0" fontId="193" fillId="0" borderId="43" xfId="0" applyFont="1" applyBorder="1" applyAlignment="1">
      <alignment horizontal="center" wrapText="1"/>
    </xf>
    <xf numFmtId="0" fontId="177" fillId="0" borderId="100" xfId="0" applyFont="1" applyBorder="1" applyAlignment="1">
      <alignment wrapText="1"/>
    </xf>
    <xf numFmtId="0" fontId="166" fillId="0" borderId="0" xfId="0" applyFont="1" applyAlignment="1">
      <alignment horizontal="left"/>
    </xf>
    <xf numFmtId="0" fontId="192" fillId="0" borderId="94" xfId="0" applyFont="1" applyBorder="1" applyAlignment="1">
      <alignment horizontal="center" vertical="top" wrapText="1"/>
    </xf>
    <xf numFmtId="0" fontId="192" fillId="0" borderId="47" xfId="0" applyFont="1" applyBorder="1" applyAlignment="1">
      <alignment horizontal="center" wrapText="1"/>
    </xf>
    <xf numFmtId="0" fontId="192" fillId="0" borderId="95" xfId="0" applyFont="1" applyBorder="1" applyAlignment="1">
      <alignment horizontal="center" vertical="top" wrapText="1"/>
    </xf>
    <xf numFmtId="0" fontId="192" fillId="0" borderId="33" xfId="0" applyFont="1" applyBorder="1" applyAlignment="1">
      <alignment horizontal="center" wrapText="1"/>
    </xf>
    <xf numFmtId="0" fontId="0" fillId="0" borderId="95" xfId="0" applyBorder="1" applyAlignment="1">
      <alignment horizontal="center" vertical="top" wrapText="1"/>
    </xf>
    <xf numFmtId="0" fontId="192" fillId="0" borderId="94" xfId="0" applyFont="1" applyBorder="1" applyAlignment="1">
      <alignment horizontal="center" wrapText="1"/>
    </xf>
    <xf numFmtId="0" fontId="0" fillId="0" borderId="99" xfId="0" applyBorder="1" applyAlignment="1">
      <alignment horizontal="center" vertical="top" wrapText="1"/>
    </xf>
    <xf numFmtId="0" fontId="192" fillId="0" borderId="96" xfId="0" applyFont="1" applyBorder="1" applyAlignment="1">
      <alignment horizontal="center" vertical="top" wrapText="1"/>
    </xf>
    <xf numFmtId="0" fontId="192" fillId="0" borderId="99" xfId="0" applyFont="1" applyBorder="1" applyAlignment="1">
      <alignment horizontal="center" vertical="top" wrapText="1"/>
    </xf>
    <xf numFmtId="0" fontId="192" fillId="0" borderId="43" xfId="0" applyFont="1" applyBorder="1" applyAlignment="1">
      <alignment horizontal="center" vertical="top" wrapText="1"/>
    </xf>
    <xf numFmtId="0" fontId="192" fillId="0" borderId="43" xfId="0" applyFont="1" applyBorder="1" applyAlignment="1">
      <alignment wrapText="1"/>
    </xf>
    <xf numFmtId="49" fontId="191" fillId="0" borderId="99" xfId="0" applyNumberFormat="1" applyFont="1" applyBorder="1" applyAlignment="1">
      <alignment horizontal="center" wrapText="1"/>
    </xf>
    <xf numFmtId="49" fontId="192" fillId="0" borderId="99" xfId="0" applyNumberFormat="1" applyFont="1" applyBorder="1" applyAlignment="1">
      <alignment horizontal="center" wrapText="1"/>
    </xf>
    <xf numFmtId="0" fontId="154" fillId="0" borderId="0" xfId="0" applyFont="1" applyAlignment="1">
      <alignment wrapText="1"/>
    </xf>
    <xf numFmtId="0" fontId="253" fillId="0" borderId="0" xfId="1182" applyAlignment="1" applyProtection="1">
      <alignment wrapText="1"/>
    </xf>
    <xf numFmtId="0" fontId="145" fillId="0" borderId="0" xfId="0" applyFont="1"/>
    <xf numFmtId="0" fontId="0" fillId="0" borderId="53" xfId="0" applyBorder="1"/>
    <xf numFmtId="0" fontId="0" fillId="0" borderId="61" xfId="0" applyBorder="1"/>
    <xf numFmtId="0" fontId="0" fillId="0" borderId="53" xfId="0" applyBorder="1" applyAlignment="1">
      <alignment horizontal="center" wrapText="1"/>
    </xf>
    <xf numFmtId="0" fontId="0" fillId="0" borderId="42" xfId="0" applyBorder="1" applyAlignment="1">
      <alignment horizontal="center" vertical="center"/>
    </xf>
    <xf numFmtId="0" fontId="0" fillId="0" borderId="37" xfId="0" applyBorder="1" applyAlignment="1">
      <alignment wrapText="1"/>
    </xf>
    <xf numFmtId="14" fontId="0" fillId="0" borderId="37" xfId="0" applyNumberFormat="1" applyBorder="1" applyAlignment="1">
      <alignment horizontal="center" vertical="center"/>
    </xf>
    <xf numFmtId="0" fontId="0" fillId="0" borderId="37" xfId="0" applyBorder="1" applyAlignment="1">
      <alignment horizontal="center" vertical="center"/>
    </xf>
    <xf numFmtId="2" fontId="0" fillId="0" borderId="37" xfId="0" applyNumberFormat="1" applyBorder="1" applyAlignment="1">
      <alignment horizontal="center" vertical="center"/>
    </xf>
    <xf numFmtId="2" fontId="0" fillId="0" borderId="52" xfId="0" applyNumberFormat="1" applyBorder="1" applyAlignment="1">
      <alignment horizontal="center" vertical="center"/>
    </xf>
    <xf numFmtId="0" fontId="23" fillId="0" borderId="0" xfId="0" applyFont="1"/>
    <xf numFmtId="0" fontId="0" fillId="0" borderId="53" xfId="0" applyBorder="1" applyAlignment="1">
      <alignment horizontal="center"/>
    </xf>
    <xf numFmtId="1" fontId="0" fillId="0" borderId="29" xfId="0" applyNumberFormat="1" applyBorder="1" applyAlignment="1">
      <alignment horizontal="center" vertical="center"/>
    </xf>
    <xf numFmtId="2" fontId="0" fillId="0" borderId="29" xfId="0" applyNumberFormat="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xf>
    <xf numFmtId="2" fontId="0" fillId="0" borderId="6" xfId="0" applyNumberFormat="1" applyBorder="1" applyAlignment="1">
      <alignment horizontal="center"/>
    </xf>
    <xf numFmtId="0" fontId="0" fillId="0" borderId="36" xfId="0" applyBorder="1" applyAlignment="1">
      <alignment horizontal="center"/>
    </xf>
    <xf numFmtId="2" fontId="0" fillId="0" borderId="36" xfId="0" applyNumberFormat="1" applyBorder="1" applyAlignment="1">
      <alignment horizontal="center"/>
    </xf>
    <xf numFmtId="0" fontId="33" fillId="0" borderId="53" xfId="0" applyFont="1" applyBorder="1"/>
    <xf numFmtId="0" fontId="33" fillId="0" borderId="61" xfId="0" applyFont="1" applyBorder="1"/>
    <xf numFmtId="1" fontId="0" fillId="0" borderId="29" xfId="0" applyNumberFormat="1" applyBorder="1" applyAlignment="1">
      <alignment horizontal="center"/>
    </xf>
    <xf numFmtId="1" fontId="0" fillId="0" borderId="36" xfId="0" applyNumberFormat="1" applyBorder="1" applyAlignment="1">
      <alignment horizontal="center"/>
    </xf>
    <xf numFmtId="2" fontId="0" fillId="0" borderId="29" xfId="0" applyNumberFormat="1" applyBorder="1" applyAlignment="1">
      <alignment horizontal="center"/>
    </xf>
    <xf numFmtId="204" fontId="0" fillId="0" borderId="0" xfId="0" applyNumberFormat="1"/>
    <xf numFmtId="0" fontId="31" fillId="0" borderId="101" xfId="0" applyFont="1" applyFill="1" applyBorder="1" applyAlignment="1">
      <alignment wrapText="1"/>
    </xf>
    <xf numFmtId="0" fontId="253" fillId="0" borderId="46" xfId="1182" applyBorder="1" applyAlignment="1" applyProtection="1"/>
    <xf numFmtId="0" fontId="0" fillId="0" borderId="46" xfId="0" applyBorder="1"/>
    <xf numFmtId="0" fontId="0" fillId="0" borderId="47" xfId="0" applyBorder="1"/>
    <xf numFmtId="0" fontId="31" fillId="0" borderId="44" xfId="0" applyFont="1" applyFill="1" applyBorder="1" applyAlignment="1">
      <alignment wrapText="1"/>
    </xf>
    <xf numFmtId="0" fontId="253" fillId="0" borderId="0" xfId="1182" applyBorder="1" applyAlignment="1" applyProtection="1"/>
    <xf numFmtId="0" fontId="0" fillId="0" borderId="0" xfId="0" applyBorder="1"/>
    <xf numFmtId="0" fontId="0" fillId="0" borderId="33" xfId="0" applyBorder="1"/>
    <xf numFmtId="0" fontId="253" fillId="0" borderId="0" xfId="1182" applyFill="1" applyBorder="1" applyAlignment="1" applyProtection="1"/>
    <xf numFmtId="0" fontId="253" fillId="0" borderId="46" xfId="1182" applyFill="1" applyBorder="1" applyAlignment="1" applyProtection="1"/>
    <xf numFmtId="0" fontId="31" fillId="0" borderId="102" xfId="0" applyFont="1" applyFill="1" applyBorder="1" applyAlignment="1">
      <alignment wrapText="1"/>
    </xf>
    <xf numFmtId="0" fontId="253" fillId="0" borderId="12" xfId="1182" applyBorder="1" applyAlignment="1" applyProtection="1"/>
    <xf numFmtId="0" fontId="0" fillId="0" borderId="12" xfId="0" applyBorder="1"/>
    <xf numFmtId="0" fontId="0" fillId="0" borderId="96" xfId="0" applyBorder="1"/>
    <xf numFmtId="0" fontId="12" fillId="0" borderId="101" xfId="0" applyFont="1" applyFill="1" applyBorder="1"/>
    <xf numFmtId="0" fontId="12" fillId="0" borderId="44" xfId="0" applyFont="1" applyFill="1" applyBorder="1"/>
    <xf numFmtId="0" fontId="12" fillId="0" borderId="102" xfId="0" applyFont="1" applyFill="1" applyBorder="1"/>
    <xf numFmtId="0" fontId="253" fillId="0" borderId="12" xfId="1182" applyFill="1" applyBorder="1" applyAlignment="1" applyProtection="1"/>
    <xf numFmtId="0" fontId="197" fillId="0" borderId="0" xfId="0" applyFont="1" applyAlignment="1"/>
    <xf numFmtId="0" fontId="197" fillId="0" borderId="0" xfId="0" applyFont="1" applyBorder="1" applyAlignment="1"/>
    <xf numFmtId="0" fontId="197" fillId="0" borderId="0" xfId="0" applyFont="1" applyFill="1" applyBorder="1" applyAlignment="1"/>
    <xf numFmtId="0" fontId="197" fillId="0" borderId="0" xfId="0" applyFont="1" applyFill="1" applyAlignment="1"/>
    <xf numFmtId="0" fontId="197" fillId="0" borderId="0" xfId="0" applyFont="1"/>
    <xf numFmtId="0" fontId="197" fillId="0" borderId="6" xfId="0" applyFont="1" applyBorder="1" applyAlignment="1">
      <alignment horizontal="center" vertical="top" wrapText="1"/>
    </xf>
    <xf numFmtId="0" fontId="197" fillId="0" borderId="0" xfId="0" applyFont="1" applyBorder="1" applyAlignment="1">
      <alignment horizontal="center" vertical="top" wrapText="1"/>
    </xf>
    <xf numFmtId="0" fontId="197" fillId="0" borderId="0" xfId="0" applyFont="1" applyFill="1" applyBorder="1" applyAlignment="1">
      <alignment horizontal="center" vertical="top" wrapText="1"/>
    </xf>
    <xf numFmtId="0" fontId="197" fillId="0" borderId="61" xfId="0" applyFont="1" applyBorder="1" applyAlignment="1">
      <alignment horizontal="center" vertical="top" wrapText="1"/>
    </xf>
    <xf numFmtId="0" fontId="31" fillId="0" borderId="6" xfId="0" applyFont="1" applyBorder="1" applyAlignment="1">
      <alignment horizontal="center" vertical="top" wrapText="1"/>
    </xf>
    <xf numFmtId="0" fontId="31" fillId="54" borderId="6" xfId="0" applyFont="1" applyFill="1" applyBorder="1" applyAlignment="1">
      <alignment wrapText="1"/>
    </xf>
    <xf numFmtId="0" fontId="197" fillId="0" borderId="6" xfId="0" applyFont="1" applyBorder="1" applyAlignment="1">
      <alignment horizontal="right" vertical="top" wrapText="1"/>
    </xf>
    <xf numFmtId="0" fontId="197" fillId="0" borderId="6" xfId="0" applyFont="1" applyFill="1" applyBorder="1" applyAlignment="1">
      <alignment horizontal="right" vertical="top" wrapText="1"/>
    </xf>
    <xf numFmtId="0" fontId="197" fillId="0" borderId="6" xfId="0" applyNumberFormat="1" applyFont="1" applyFill="1" applyBorder="1" applyAlignment="1">
      <alignment horizontal="right" vertical="top" wrapText="1"/>
    </xf>
    <xf numFmtId="0" fontId="197" fillId="44" borderId="6" xfId="0" applyFont="1" applyFill="1" applyBorder="1" applyAlignment="1">
      <alignment horizontal="right" vertical="top" wrapText="1"/>
    </xf>
    <xf numFmtId="0" fontId="197" fillId="0" borderId="0" xfId="0" applyFont="1" applyFill="1" applyBorder="1" applyAlignment="1">
      <alignment vertical="top" wrapText="1"/>
    </xf>
    <xf numFmtId="0" fontId="197" fillId="0" borderId="0" xfId="0" applyFont="1" applyFill="1" applyBorder="1" applyAlignment="1">
      <alignment wrapText="1"/>
    </xf>
    <xf numFmtId="0" fontId="197" fillId="0" borderId="0" xfId="0" applyFont="1" applyFill="1" applyBorder="1" applyAlignment="1">
      <alignment horizontal="right" vertical="top" wrapText="1"/>
    </xf>
    <xf numFmtId="0" fontId="197" fillId="0" borderId="0" xfId="0" applyNumberFormat="1" applyFont="1" applyFill="1" applyBorder="1" applyAlignment="1">
      <alignment horizontal="right" vertical="top" wrapText="1"/>
    </xf>
    <xf numFmtId="0" fontId="197" fillId="44" borderId="6" xfId="0" applyNumberFormat="1" applyFont="1" applyFill="1" applyBorder="1" applyAlignment="1">
      <alignment horizontal="right" vertical="top" wrapText="1"/>
    </xf>
    <xf numFmtId="0" fontId="198" fillId="0" borderId="0" xfId="0" applyFont="1" applyFill="1" applyBorder="1" applyAlignment="1">
      <alignment vertical="center" wrapText="1"/>
    </xf>
    <xf numFmtId="0" fontId="197" fillId="43" borderId="6" xfId="0" applyFont="1" applyFill="1" applyBorder="1" applyAlignment="1">
      <alignment horizontal="right" vertical="top" wrapText="1"/>
    </xf>
    <xf numFmtId="0" fontId="197" fillId="0" borderId="0" xfId="0" applyFont="1" applyFill="1" applyBorder="1" applyAlignment="1">
      <alignment vertical="center" wrapText="1"/>
    </xf>
    <xf numFmtId="0" fontId="31" fillId="0" borderId="6" xfId="0" applyFont="1" applyFill="1" applyBorder="1" applyAlignment="1">
      <alignment vertical="top" wrapText="1"/>
    </xf>
    <xf numFmtId="0" fontId="31" fillId="0" borderId="6" xfId="0" applyFont="1" applyFill="1" applyBorder="1" applyAlignment="1">
      <alignment wrapText="1"/>
    </xf>
    <xf numFmtId="0" fontId="197" fillId="43" borderId="6" xfId="0" applyFont="1" applyFill="1" applyBorder="1" applyAlignment="1">
      <alignment wrapText="1"/>
    </xf>
    <xf numFmtId="0" fontId="197" fillId="43" borderId="6" xfId="0" applyNumberFormat="1" applyFont="1" applyFill="1" applyBorder="1" applyAlignment="1">
      <alignment horizontal="right" vertical="top" wrapText="1"/>
    </xf>
    <xf numFmtId="0" fontId="31" fillId="54" borderId="0" xfId="0" applyFont="1" applyFill="1" applyBorder="1" applyAlignment="1">
      <alignment wrapText="1"/>
    </xf>
    <xf numFmtId="0" fontId="199" fillId="0" borderId="53" xfId="0" applyFont="1" applyFill="1" applyBorder="1" applyAlignment="1" applyProtection="1">
      <alignment horizontal="center" vertical="center"/>
      <protection locked="0"/>
    </xf>
    <xf numFmtId="0" fontId="199" fillId="0" borderId="53" xfId="0" applyFont="1" applyFill="1" applyBorder="1" applyAlignment="1" applyProtection="1">
      <alignment horizontal="center" vertical="center" wrapText="1"/>
      <protection locked="0"/>
    </xf>
    <xf numFmtId="0" fontId="200" fillId="0" borderId="0" xfId="1503" applyFont="1" applyFill="1" applyBorder="1" applyAlignment="1">
      <alignment horizontal="left" vertical="top"/>
    </xf>
    <xf numFmtId="0" fontId="45" fillId="0" borderId="0" xfId="1503" applyFont="1" applyFill="1" applyBorder="1" applyAlignment="1">
      <alignment horizontal="center"/>
    </xf>
    <xf numFmtId="0" fontId="45" fillId="0" borderId="0" xfId="1503" applyFont="1" applyFill="1" applyBorder="1" applyAlignment="1"/>
    <xf numFmtId="0" fontId="201" fillId="0" borderId="45" xfId="0" applyFont="1" applyFill="1" applyBorder="1" applyAlignment="1" applyProtection="1">
      <alignment horizontal="center" vertical="center"/>
      <protection locked="0"/>
    </xf>
    <xf numFmtId="0" fontId="201" fillId="0" borderId="29" xfId="0" applyFont="1" applyFill="1" applyBorder="1" applyAlignment="1" applyProtection="1">
      <alignment horizontal="left" vertical="center"/>
      <protection locked="0"/>
    </xf>
    <xf numFmtId="0" fontId="201" fillId="0" borderId="29" xfId="0" applyFont="1" applyFill="1" applyBorder="1" applyAlignment="1" applyProtection="1">
      <alignment horizontal="left" vertical="center" wrapText="1"/>
      <protection locked="0"/>
    </xf>
    <xf numFmtId="0" fontId="201" fillId="0" borderId="29" xfId="0" applyFont="1" applyFill="1" applyBorder="1" applyAlignment="1" applyProtection="1">
      <alignment horizontal="right" vertical="center"/>
      <protection locked="0"/>
    </xf>
    <xf numFmtId="0" fontId="201" fillId="52" borderId="29" xfId="0" applyFont="1" applyFill="1" applyBorder="1" applyAlignment="1" applyProtection="1">
      <alignment horizontal="right" vertical="center"/>
      <protection locked="0"/>
    </xf>
    <xf numFmtId="2" fontId="201" fillId="0" borderId="29" xfId="0" applyNumberFormat="1" applyFont="1" applyFill="1" applyBorder="1" applyAlignment="1" applyProtection="1">
      <alignment horizontal="right" vertical="center"/>
      <protection locked="0"/>
    </xf>
    <xf numFmtId="0" fontId="201" fillId="0" borderId="29" xfId="0" applyFont="1" applyFill="1" applyBorder="1" applyAlignment="1" applyProtection="1">
      <alignment horizontal="center" vertical="center"/>
      <protection locked="0"/>
    </xf>
    <xf numFmtId="0" fontId="45" fillId="0" borderId="0" xfId="1503" applyFill="1" applyBorder="1" applyAlignment="1">
      <alignment vertical="top"/>
    </xf>
    <xf numFmtId="0" fontId="45" fillId="0" borderId="0" xfId="1503" applyFill="1" applyBorder="1" applyAlignment="1">
      <alignment horizontal="center"/>
    </xf>
    <xf numFmtId="0" fontId="201" fillId="0" borderId="48" xfId="0" applyFont="1" applyFill="1" applyBorder="1" applyAlignment="1" applyProtection="1">
      <alignment horizontal="center" vertical="center"/>
      <protection locked="0"/>
    </xf>
    <xf numFmtId="0" fontId="201" fillId="0" borderId="6" xfId="0" applyFont="1" applyFill="1" applyBorder="1" applyAlignment="1" applyProtection="1">
      <alignment horizontal="left" vertical="center"/>
      <protection locked="0"/>
    </xf>
    <xf numFmtId="0" fontId="201" fillId="0" borderId="6" xfId="0" applyFont="1" applyFill="1" applyBorder="1" applyAlignment="1" applyProtection="1">
      <alignment horizontal="left" vertical="center" wrapText="1"/>
      <protection locked="0"/>
    </xf>
    <xf numFmtId="0" fontId="201" fillId="0" borderId="6" xfId="0" applyFont="1" applyFill="1" applyBorder="1" applyAlignment="1" applyProtection="1">
      <alignment horizontal="right" vertical="center"/>
      <protection locked="0"/>
    </xf>
    <xf numFmtId="0" fontId="201" fillId="52" borderId="6" xfId="0" applyFont="1" applyFill="1" applyBorder="1" applyAlignment="1" applyProtection="1">
      <alignment horizontal="right" vertical="center"/>
      <protection locked="0"/>
    </xf>
    <xf numFmtId="2" fontId="201" fillId="0" borderId="6" xfId="0" applyNumberFormat="1" applyFont="1" applyFill="1" applyBorder="1" applyAlignment="1" applyProtection="1">
      <alignment horizontal="right" vertical="center"/>
      <protection locked="0"/>
    </xf>
    <xf numFmtId="0" fontId="201" fillId="0" borderId="6" xfId="0" applyFont="1" applyFill="1" applyBorder="1" applyAlignment="1" applyProtection="1">
      <alignment horizontal="center" vertical="center"/>
      <protection locked="0"/>
    </xf>
    <xf numFmtId="0" fontId="45" fillId="0" borderId="0" xfId="1503" applyBorder="1" applyAlignment="1">
      <alignment vertical="top"/>
    </xf>
    <xf numFmtId="0" fontId="45" fillId="0" borderId="0" xfId="1503" applyBorder="1" applyAlignment="1">
      <alignment horizontal="center"/>
    </xf>
    <xf numFmtId="0" fontId="45" fillId="0" borderId="0" xfId="1503" applyFont="1" applyBorder="1" applyAlignment="1">
      <alignment vertical="top"/>
    </xf>
    <xf numFmtId="0" fontId="45" fillId="0" borderId="0" xfId="1503" applyFont="1" applyBorder="1" applyAlignment="1">
      <alignment horizontal="center"/>
    </xf>
    <xf numFmtId="0" fontId="201" fillId="0" borderId="50" xfId="0" applyFont="1" applyFill="1" applyBorder="1" applyAlignment="1" applyProtection="1">
      <alignment horizontal="center" vertical="center"/>
      <protection locked="0"/>
    </xf>
    <xf numFmtId="0" fontId="201" fillId="0" borderId="36" xfId="0" applyFont="1" applyFill="1" applyBorder="1" applyAlignment="1" applyProtection="1">
      <alignment horizontal="left" vertical="center"/>
      <protection locked="0"/>
    </xf>
    <xf numFmtId="0" fontId="201" fillId="0" borderId="36" xfId="0" applyFont="1" applyFill="1" applyBorder="1" applyAlignment="1" applyProtection="1">
      <alignment horizontal="left" vertical="center" wrapText="1"/>
      <protection locked="0"/>
    </xf>
    <xf numFmtId="0" fontId="201" fillId="0" borderId="36" xfId="0" applyFont="1" applyFill="1" applyBorder="1" applyAlignment="1" applyProtection="1">
      <alignment horizontal="right" vertical="center"/>
      <protection locked="0"/>
    </xf>
    <xf numFmtId="0" fontId="201" fillId="52" borderId="36" xfId="0" applyFont="1" applyFill="1" applyBorder="1" applyAlignment="1" applyProtection="1">
      <alignment horizontal="right" vertical="center"/>
      <protection locked="0"/>
    </xf>
    <xf numFmtId="2" fontId="201" fillId="0" borderId="36" xfId="0" applyNumberFormat="1" applyFont="1" applyFill="1" applyBorder="1" applyAlignment="1" applyProtection="1">
      <alignment horizontal="right" vertical="center"/>
      <protection locked="0"/>
    </xf>
    <xf numFmtId="0" fontId="201" fillId="0" borderId="36" xfId="0" applyFont="1" applyFill="1" applyBorder="1" applyAlignment="1" applyProtection="1">
      <alignment horizontal="center" vertical="center"/>
      <protection locked="0"/>
    </xf>
    <xf numFmtId="0" fontId="199" fillId="0" borderId="1" xfId="0" applyFont="1" applyFill="1" applyBorder="1" applyAlignment="1" applyProtection="1">
      <alignment horizontal="center" vertical="center"/>
      <protection locked="0"/>
    </xf>
    <xf numFmtId="0" fontId="199" fillId="0" borderId="1" xfId="0" applyFont="1" applyFill="1" applyBorder="1" applyAlignment="1" applyProtection="1">
      <alignment horizontal="left" vertical="center"/>
      <protection locked="0"/>
    </xf>
    <xf numFmtId="0" fontId="199" fillId="0" borderId="1" xfId="0" applyFont="1" applyFill="1" applyBorder="1" applyAlignment="1" applyProtection="1">
      <alignment horizontal="right" vertical="center" wrapText="1"/>
      <protection locked="0"/>
    </xf>
    <xf numFmtId="0" fontId="199" fillId="0" borderId="1" xfId="0" applyFont="1" applyFill="1" applyBorder="1" applyAlignment="1" applyProtection="1">
      <alignment horizontal="right" vertical="center"/>
      <protection locked="0"/>
    </xf>
    <xf numFmtId="2" fontId="201" fillId="0" borderId="1" xfId="0" applyNumberFormat="1" applyFont="1" applyFill="1" applyBorder="1" applyAlignment="1" applyProtection="1">
      <alignment horizontal="right" vertical="center"/>
      <protection locked="0"/>
    </xf>
    <xf numFmtId="0" fontId="201" fillId="0" borderId="0"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center"/>
    </xf>
    <xf numFmtId="0" fontId="201" fillId="0" borderId="0" xfId="0" applyFont="1" applyFill="1" applyBorder="1" applyAlignment="1">
      <alignment horizontal="center" vertical="center"/>
    </xf>
    <xf numFmtId="0" fontId="201" fillId="0" borderId="6" xfId="0" applyFont="1" applyFill="1" applyBorder="1" applyAlignment="1">
      <alignment horizontal="center" vertical="center" wrapText="1"/>
    </xf>
    <xf numFmtId="0" fontId="201" fillId="0" borderId="6" xfId="0" applyFont="1" applyFill="1" applyBorder="1" applyAlignment="1">
      <alignment horizontal="left" vertical="center" wrapText="1"/>
    </xf>
    <xf numFmtId="0" fontId="201" fillId="52" borderId="6" xfId="0" applyFont="1" applyFill="1" applyBorder="1" applyAlignment="1">
      <alignment horizontal="center" vertical="center" wrapText="1"/>
    </xf>
    <xf numFmtId="0" fontId="201" fillId="0" borderId="6" xfId="0" applyFont="1" applyFill="1" applyBorder="1" applyAlignment="1">
      <alignment horizontal="left" wrapText="1"/>
    </xf>
    <xf numFmtId="0" fontId="201" fillId="0" borderId="0" xfId="0" applyFont="1" applyFill="1" applyBorder="1" applyAlignment="1">
      <alignment wrapText="1"/>
    </xf>
    <xf numFmtId="0" fontId="197" fillId="0" borderId="0" xfId="0" applyFont="1" applyBorder="1"/>
    <xf numFmtId="0" fontId="199" fillId="0" borderId="40" xfId="0" applyFont="1" applyFill="1" applyBorder="1" applyAlignment="1" applyProtection="1">
      <alignment horizontal="center" vertical="center"/>
      <protection locked="0"/>
    </xf>
    <xf numFmtId="0" fontId="65" fillId="0" borderId="0" xfId="0" applyFont="1" applyBorder="1" applyAlignment="1">
      <alignment horizontal="center"/>
    </xf>
    <xf numFmtId="0" fontId="0" fillId="0" borderId="0" xfId="0" applyBorder="1" applyAlignment="1">
      <alignment horizontal="center"/>
    </xf>
    <xf numFmtId="0" fontId="201" fillId="0" borderId="6" xfId="0" applyFont="1" applyFill="1" applyBorder="1" applyAlignment="1">
      <alignment wrapText="1"/>
    </xf>
    <xf numFmtId="0" fontId="201" fillId="0" borderId="0" xfId="0" applyFont="1" applyBorder="1"/>
    <xf numFmtId="0" fontId="201" fillId="0" borderId="0" xfId="0" applyFont="1" applyBorder="1" applyAlignment="1">
      <alignment horizontal="center"/>
    </xf>
    <xf numFmtId="0" fontId="31" fillId="0" borderId="0" xfId="0" applyFont="1" applyBorder="1" applyAlignment="1">
      <alignment horizontal="center" vertical="center"/>
    </xf>
    <xf numFmtId="0" fontId="201" fillId="0" borderId="0" xfId="0" applyFont="1" applyFill="1" applyBorder="1" applyAlignment="1">
      <alignment horizontal="left" vertical="center"/>
    </xf>
    <xf numFmtId="0" fontId="201" fillId="0" borderId="34" xfId="0" applyFont="1" applyFill="1" applyBorder="1" applyAlignment="1" applyProtection="1">
      <alignment horizontal="right" vertical="center"/>
      <protection locked="0"/>
    </xf>
    <xf numFmtId="0" fontId="201" fillId="52" borderId="34" xfId="0" applyFont="1" applyFill="1" applyBorder="1" applyAlignment="1" applyProtection="1">
      <alignment horizontal="right" vertical="center"/>
      <protection locked="0"/>
    </xf>
    <xf numFmtId="0" fontId="202" fillId="0" borderId="0" xfId="0" applyFont="1" applyBorder="1" applyAlignment="1">
      <alignment horizontal="center" vertical="center"/>
    </xf>
    <xf numFmtId="0" fontId="45" fillId="0" borderId="0" xfId="0" applyFont="1" applyFill="1" applyBorder="1" applyAlignment="1">
      <alignment horizontal="center"/>
    </xf>
    <xf numFmtId="0" fontId="45" fillId="0" borderId="0" xfId="0" applyFont="1" applyFill="1" applyBorder="1" applyAlignment="1">
      <alignment horizontal="center" vertical="center"/>
    </xf>
    <xf numFmtId="0" fontId="201" fillId="0" borderId="34" xfId="0" applyFont="1" applyFill="1" applyBorder="1" applyAlignment="1" applyProtection="1">
      <alignment horizontal="left" vertical="center"/>
      <protection locked="0"/>
    </xf>
    <xf numFmtId="0" fontId="201" fillId="0" borderId="34" xfId="0" applyFont="1" applyFill="1" applyBorder="1" applyAlignment="1" applyProtection="1">
      <alignment horizontal="left" vertical="center" wrapText="1"/>
      <protection locked="0"/>
    </xf>
    <xf numFmtId="2" fontId="201" fillId="0" borderId="34" xfId="0" applyNumberFormat="1" applyFont="1" applyFill="1" applyBorder="1" applyAlignment="1" applyProtection="1">
      <alignment horizontal="right" vertical="center"/>
      <protection locked="0"/>
    </xf>
    <xf numFmtId="0" fontId="201" fillId="0" borderId="34" xfId="0" applyFont="1" applyFill="1" applyBorder="1" applyAlignment="1" applyProtection="1">
      <alignment horizontal="center" vertical="center"/>
      <protection locked="0"/>
    </xf>
    <xf numFmtId="0" fontId="45" fillId="0" borderId="0" xfId="1503" applyBorder="1" applyAlignment="1"/>
    <xf numFmtId="0" fontId="201" fillId="0" borderId="36" xfId="0" applyFont="1" applyFill="1" applyBorder="1" applyAlignment="1">
      <alignment wrapText="1"/>
    </xf>
    <xf numFmtId="0" fontId="199" fillId="0" borderId="26" xfId="0" applyFont="1" applyFill="1" applyBorder="1" applyAlignment="1" applyProtection="1">
      <alignment horizontal="center" vertical="center"/>
      <protection locked="0"/>
    </xf>
    <xf numFmtId="0" fontId="199" fillId="0" borderId="24" xfId="0" applyFont="1" applyFill="1" applyBorder="1" applyAlignment="1" applyProtection="1">
      <alignment horizontal="left" vertical="center"/>
      <protection locked="0"/>
    </xf>
    <xf numFmtId="0" fontId="199" fillId="0" borderId="24" xfId="0" applyFont="1" applyFill="1" applyBorder="1" applyAlignment="1" applyProtection="1">
      <alignment horizontal="right" vertical="center" wrapText="1"/>
      <protection locked="0"/>
    </xf>
    <xf numFmtId="0" fontId="199" fillId="0" borderId="24" xfId="0" applyFont="1" applyFill="1" applyBorder="1" applyAlignment="1" applyProtection="1">
      <alignment horizontal="right" vertical="center"/>
      <protection locked="0"/>
    </xf>
    <xf numFmtId="2" fontId="201" fillId="0" borderId="24" xfId="0" applyNumberFormat="1" applyFont="1" applyFill="1" applyBorder="1" applyAlignment="1" applyProtection="1">
      <alignment horizontal="right" vertical="center"/>
      <protection locked="0"/>
    </xf>
    <xf numFmtId="0" fontId="199" fillId="0" borderId="24" xfId="0" applyFont="1" applyFill="1" applyBorder="1" applyAlignment="1" applyProtection="1">
      <alignment horizontal="center" vertical="center"/>
      <protection locked="0"/>
    </xf>
    <xf numFmtId="0" fontId="201" fillId="0" borderId="79" xfId="0" applyFont="1" applyFill="1" applyBorder="1" applyAlignment="1" applyProtection="1">
      <alignment horizontal="center" vertical="center"/>
      <protection locked="0"/>
    </xf>
    <xf numFmtId="0" fontId="201" fillId="0" borderId="35" xfId="0" applyFont="1" applyFill="1" applyBorder="1" applyAlignment="1" applyProtection="1">
      <alignment horizontal="left" vertical="center"/>
      <protection locked="0"/>
    </xf>
    <xf numFmtId="0" fontId="201" fillId="0" borderId="35" xfId="0" applyFont="1" applyFill="1" applyBorder="1" applyAlignment="1" applyProtection="1">
      <alignment horizontal="left" vertical="center" wrapText="1"/>
      <protection locked="0"/>
    </xf>
    <xf numFmtId="0" fontId="201" fillId="0" borderId="35" xfId="0" applyFont="1" applyFill="1" applyBorder="1" applyAlignment="1" applyProtection="1">
      <alignment horizontal="right" vertical="center"/>
      <protection locked="0"/>
    </xf>
    <xf numFmtId="0" fontId="201" fillId="52" borderId="35" xfId="0" applyFont="1" applyFill="1" applyBorder="1" applyAlignment="1" applyProtection="1">
      <alignment horizontal="right" vertical="center"/>
      <protection locked="0"/>
    </xf>
    <xf numFmtId="2" fontId="201" fillId="0" borderId="35" xfId="0" applyNumberFormat="1" applyFont="1" applyFill="1" applyBorder="1" applyAlignment="1" applyProtection="1">
      <alignment horizontal="right" vertical="center"/>
      <protection locked="0"/>
    </xf>
    <xf numFmtId="0" fontId="201" fillId="0" borderId="29" xfId="0" applyFont="1" applyFill="1" applyBorder="1" applyAlignment="1">
      <alignment horizontal="center" vertical="center" wrapText="1"/>
    </xf>
    <xf numFmtId="0" fontId="45" fillId="0" borderId="0" xfId="1503" applyFont="1" applyBorder="1" applyAlignment="1"/>
    <xf numFmtId="0" fontId="45" fillId="0" borderId="0" xfId="0" applyFont="1" applyBorder="1" applyAlignment="1"/>
    <xf numFmtId="0" fontId="201" fillId="0" borderId="23" xfId="0" applyFont="1" applyFill="1" applyBorder="1" applyAlignment="1" applyProtection="1">
      <alignment horizontal="center" vertical="center"/>
      <protection locked="0"/>
    </xf>
    <xf numFmtId="0" fontId="201" fillId="0" borderId="27" xfId="0" applyFont="1" applyFill="1" applyBorder="1" applyAlignment="1" applyProtection="1">
      <alignment horizontal="left" vertical="center"/>
      <protection locked="0"/>
    </xf>
    <xf numFmtId="0" fontId="201" fillId="0" borderId="27" xfId="0" applyFont="1" applyFill="1" applyBorder="1" applyAlignment="1" applyProtection="1">
      <alignment horizontal="left" vertical="center" wrapText="1"/>
      <protection locked="0"/>
    </xf>
    <xf numFmtId="0" fontId="201" fillId="0" borderId="27" xfId="0" applyFont="1" applyFill="1" applyBorder="1" applyAlignment="1" applyProtection="1">
      <alignment horizontal="right" vertical="center"/>
      <protection locked="0"/>
    </xf>
    <xf numFmtId="0" fontId="201" fillId="52" borderId="27" xfId="0" applyFont="1" applyFill="1" applyBorder="1" applyAlignment="1" applyProtection="1">
      <alignment horizontal="right" vertical="center"/>
      <protection locked="0"/>
    </xf>
    <xf numFmtId="0" fontId="201" fillId="0" borderId="27" xfId="0" applyFont="1" applyFill="1" applyBorder="1" applyAlignment="1" applyProtection="1">
      <alignment horizontal="center" vertical="center"/>
      <protection locked="0"/>
    </xf>
    <xf numFmtId="0" fontId="201" fillId="0" borderId="37" xfId="0" applyFont="1" applyFill="1" applyBorder="1" applyAlignment="1" applyProtection="1">
      <alignment horizontal="center" vertical="center"/>
      <protection locked="0"/>
    </xf>
    <xf numFmtId="0" fontId="201" fillId="0" borderId="1" xfId="0" applyFont="1" applyFill="1" applyBorder="1" applyAlignment="1" applyProtection="1">
      <alignment horizontal="left" vertical="center"/>
      <protection locked="0"/>
    </xf>
    <xf numFmtId="0" fontId="201" fillId="0" borderId="1" xfId="0" applyFont="1" applyFill="1" applyBorder="1" applyAlignment="1" applyProtection="1">
      <alignment horizontal="right" vertical="center"/>
      <protection locked="0"/>
    </xf>
    <xf numFmtId="0" fontId="201" fillId="0" borderId="1" xfId="0" applyFont="1" applyFill="1" applyBorder="1" applyAlignment="1" applyProtection="1">
      <alignment horizontal="center" vertical="center"/>
      <protection locked="0"/>
    </xf>
    <xf numFmtId="0" fontId="201" fillId="0" borderId="91" xfId="0" applyFont="1" applyFill="1" applyBorder="1" applyAlignment="1" applyProtection="1">
      <alignment horizontal="center" vertical="center"/>
      <protection locked="0"/>
    </xf>
    <xf numFmtId="0" fontId="201" fillId="0" borderId="45" xfId="0" applyFont="1" applyFill="1" applyBorder="1" applyAlignment="1" applyProtection="1">
      <alignment horizontal="left" vertical="center"/>
      <protection locked="0"/>
    </xf>
    <xf numFmtId="0" fontId="201" fillId="0" borderId="58" xfId="0" applyFont="1" applyFill="1" applyBorder="1" applyAlignment="1" applyProtection="1">
      <alignment horizontal="center" vertical="center"/>
      <protection locked="0"/>
    </xf>
    <xf numFmtId="0" fontId="201" fillId="0" borderId="48" xfId="0" applyFont="1" applyFill="1" applyBorder="1" applyAlignment="1" applyProtection="1">
      <alignment horizontal="left" vertical="center"/>
      <protection locked="0"/>
    </xf>
    <xf numFmtId="0" fontId="201" fillId="0" borderId="50" xfId="0" applyFont="1" applyFill="1" applyBorder="1" applyAlignment="1" applyProtection="1">
      <alignment horizontal="left" vertical="center"/>
      <protection locked="0"/>
    </xf>
    <xf numFmtId="0" fontId="201" fillId="0" borderId="35" xfId="0" applyFont="1" applyFill="1" applyBorder="1" applyAlignment="1" applyProtection="1">
      <alignment horizontal="center" vertical="center"/>
      <protection locked="0"/>
    </xf>
    <xf numFmtId="0" fontId="201" fillId="0" borderId="62" xfId="0" applyFont="1" applyFill="1" applyBorder="1" applyAlignment="1" applyProtection="1">
      <alignment horizontal="center" vertical="center"/>
      <protection locked="0"/>
    </xf>
    <xf numFmtId="0" fontId="199" fillId="0" borderId="0" xfId="0" applyFont="1" applyFill="1" applyBorder="1" applyAlignment="1">
      <alignment horizontal="center" vertical="center"/>
    </xf>
    <xf numFmtId="0" fontId="201" fillId="0" borderId="6" xfId="0" applyFont="1" applyFill="1" applyBorder="1" applyAlignment="1">
      <alignment horizontal="left" vertical="center"/>
    </xf>
    <xf numFmtId="0" fontId="201" fillId="0" borderId="6" xfId="0" applyFont="1" applyFill="1" applyBorder="1" applyAlignment="1">
      <alignment vertical="center" wrapText="1"/>
    </xf>
    <xf numFmtId="0" fontId="201" fillId="0" borderId="6" xfId="0" applyFont="1" applyFill="1" applyBorder="1"/>
    <xf numFmtId="0" fontId="201" fillId="0" borderId="42" xfId="0" applyFont="1" applyFill="1" applyBorder="1" applyAlignment="1" applyProtection="1">
      <alignment horizontal="center" vertical="center"/>
      <protection locked="0"/>
    </xf>
    <xf numFmtId="0" fontId="201" fillId="0" borderId="37" xfId="0" applyFont="1" applyFill="1" applyBorder="1" applyAlignment="1" applyProtection="1">
      <alignment horizontal="left" vertical="center"/>
      <protection locked="0"/>
    </xf>
    <xf numFmtId="0" fontId="201" fillId="0" borderId="37" xfId="0" applyFont="1" applyFill="1" applyBorder="1" applyAlignment="1" applyProtection="1">
      <alignment horizontal="left" vertical="center" wrapText="1"/>
      <protection locked="0"/>
    </xf>
    <xf numFmtId="0" fontId="201" fillId="0" borderId="37" xfId="0" applyFont="1" applyFill="1" applyBorder="1" applyAlignment="1" applyProtection="1">
      <alignment horizontal="right" vertical="center"/>
      <protection locked="0"/>
    </xf>
    <xf numFmtId="0" fontId="201" fillId="52" borderId="37" xfId="0" applyFont="1" applyFill="1" applyBorder="1" applyAlignment="1" applyProtection="1">
      <alignment horizontal="right" vertical="center"/>
      <protection locked="0"/>
    </xf>
    <xf numFmtId="0" fontId="201" fillId="0" borderId="29" xfId="0" applyFont="1" applyFill="1" applyBorder="1" applyAlignment="1">
      <alignment horizontal="left" vertical="center"/>
    </xf>
    <xf numFmtId="0" fontId="201" fillId="0" borderId="29" xfId="0" applyFont="1" applyFill="1" applyBorder="1" applyAlignment="1">
      <alignment vertical="center" wrapText="1"/>
    </xf>
    <xf numFmtId="1" fontId="201" fillId="0" borderId="29" xfId="0" applyNumberFormat="1" applyFont="1" applyFill="1" applyBorder="1" applyAlignment="1" applyProtection="1">
      <alignment vertical="center"/>
      <protection locked="0"/>
    </xf>
    <xf numFmtId="1" fontId="201" fillId="0" borderId="29" xfId="0" applyNumberFormat="1" applyFont="1" applyFill="1" applyBorder="1" applyAlignment="1" applyProtection="1">
      <alignment horizontal="right" vertical="center"/>
      <protection locked="0"/>
    </xf>
    <xf numFmtId="1" fontId="201" fillId="52" borderId="29" xfId="0" applyNumberFormat="1" applyFont="1" applyFill="1" applyBorder="1" applyAlignment="1" applyProtection="1">
      <alignment horizontal="right" vertical="center"/>
      <protection locked="0"/>
    </xf>
    <xf numFmtId="2" fontId="201" fillId="0" borderId="6" xfId="0" applyNumberFormat="1" applyFont="1" applyFill="1" applyBorder="1" applyAlignment="1" applyProtection="1">
      <alignment horizontal="center" vertical="center"/>
      <protection locked="0"/>
    </xf>
    <xf numFmtId="1" fontId="201" fillId="52" borderId="6" xfId="0" applyNumberFormat="1" applyFont="1" applyFill="1" applyBorder="1" applyAlignment="1">
      <alignment horizontal="center" vertical="center" wrapText="1"/>
    </xf>
    <xf numFmtId="0" fontId="201" fillId="0" borderId="6" xfId="0" applyFont="1" applyFill="1" applyBorder="1" applyAlignment="1">
      <alignment horizontal="center" vertical="center"/>
    </xf>
    <xf numFmtId="1" fontId="201" fillId="52" borderId="6" xfId="0" applyNumberFormat="1" applyFont="1" applyFill="1" applyBorder="1" applyAlignment="1">
      <alignment horizontal="center"/>
    </xf>
    <xf numFmtId="0" fontId="201" fillId="0" borderId="6" xfId="0" applyFont="1" applyFill="1" applyBorder="1" applyAlignment="1">
      <alignment horizontal="center"/>
    </xf>
    <xf numFmtId="0" fontId="201" fillId="52" borderId="6" xfId="0" applyFont="1" applyFill="1" applyBorder="1" applyAlignment="1">
      <alignment horizontal="center"/>
    </xf>
    <xf numFmtId="0" fontId="201" fillId="0" borderId="103" xfId="0" applyFont="1" applyFill="1" applyBorder="1" applyAlignment="1" applyProtection="1">
      <alignment horizontal="left" vertical="center" wrapText="1"/>
      <protection locked="0"/>
    </xf>
    <xf numFmtId="0" fontId="201" fillId="0" borderId="61" xfId="0" applyFont="1" applyFill="1" applyBorder="1" applyAlignment="1" applyProtection="1">
      <alignment horizontal="right" vertical="center"/>
      <protection locked="0"/>
    </xf>
    <xf numFmtId="0" fontId="201" fillId="0" borderId="32" xfId="0" applyFont="1" applyFill="1" applyBorder="1" applyAlignment="1" applyProtection="1">
      <alignment horizontal="left" vertical="center" wrapText="1"/>
      <protection locked="0"/>
    </xf>
    <xf numFmtId="1" fontId="201" fillId="0" borderId="61" xfId="0" applyNumberFormat="1" applyFont="1" applyFill="1" applyBorder="1" applyAlignment="1" applyProtection="1">
      <alignment horizontal="right" vertical="center"/>
      <protection locked="0"/>
    </xf>
    <xf numFmtId="1" fontId="201" fillId="0" borderId="6" xfId="0" applyNumberFormat="1" applyFont="1" applyFill="1" applyBorder="1" applyAlignment="1" applyProtection="1">
      <alignment horizontal="right" vertical="center"/>
      <protection locked="0"/>
    </xf>
    <xf numFmtId="1" fontId="201" fillId="52" borderId="6" xfId="0" applyNumberFormat="1" applyFont="1" applyFill="1" applyBorder="1" applyAlignment="1" applyProtection="1">
      <alignment horizontal="right" vertical="center"/>
      <protection locked="0"/>
    </xf>
    <xf numFmtId="0" fontId="199" fillId="0" borderId="27" xfId="0" applyFont="1" applyFill="1" applyBorder="1" applyAlignment="1" applyProtection="1">
      <alignment horizontal="right" vertical="center" wrapText="1"/>
      <protection locked="0"/>
    </xf>
    <xf numFmtId="2" fontId="201" fillId="0" borderId="27" xfId="0" applyNumberFormat="1" applyFont="1" applyFill="1" applyBorder="1" applyAlignment="1" applyProtection="1">
      <alignment horizontal="right" vertical="center"/>
      <protection locked="0"/>
    </xf>
    <xf numFmtId="0" fontId="201" fillId="0" borderId="80" xfId="0" applyFont="1" applyFill="1" applyBorder="1" applyAlignment="1" applyProtection="1">
      <alignment horizontal="center" vertical="center"/>
      <protection locked="0"/>
    </xf>
    <xf numFmtId="0" fontId="201" fillId="0" borderId="69" xfId="0" applyFont="1" applyFill="1" applyBorder="1" applyAlignment="1" applyProtection="1">
      <alignment horizontal="left" vertical="center"/>
      <protection locked="0"/>
    </xf>
    <xf numFmtId="0" fontId="201" fillId="0" borderId="59" xfId="0" applyFont="1" applyFill="1" applyBorder="1" applyAlignment="1" applyProtection="1">
      <alignment horizontal="left" vertical="center" wrapText="1"/>
      <protection locked="0"/>
    </xf>
    <xf numFmtId="0" fontId="201" fillId="0" borderId="6" xfId="0" applyFont="1" applyFill="1" applyBorder="1" applyAlignment="1" applyProtection="1">
      <alignment wrapText="1"/>
      <protection locked="0"/>
    </xf>
    <xf numFmtId="0" fontId="201" fillId="0" borderId="12" xfId="0" applyFont="1" applyFill="1" applyBorder="1" applyAlignment="1" applyProtection="1">
      <alignment wrapText="1"/>
      <protection locked="0"/>
    </xf>
    <xf numFmtId="0" fontId="201" fillId="0" borderId="40" xfId="0" applyFont="1" applyFill="1" applyBorder="1" applyAlignment="1" applyProtection="1">
      <alignment horizontal="center" vertical="center"/>
      <protection locked="0"/>
    </xf>
    <xf numFmtId="0" fontId="201" fillId="0" borderId="28" xfId="0" applyFont="1" applyFill="1" applyBorder="1" applyAlignment="1" applyProtection="1">
      <alignment horizontal="left" vertical="center" wrapText="1"/>
      <protection locked="0"/>
    </xf>
    <xf numFmtId="0" fontId="201" fillId="0" borderId="104" xfId="0" applyFont="1" applyFill="1" applyBorder="1" applyAlignment="1" applyProtection="1">
      <alignment horizontal="right" vertical="center"/>
      <protection locked="0"/>
    </xf>
    <xf numFmtId="0" fontId="201" fillId="0" borderId="31" xfId="0" applyFont="1" applyFill="1" applyBorder="1" applyAlignment="1" applyProtection="1">
      <alignment horizontal="left" vertical="center" wrapText="1"/>
      <protection locked="0"/>
    </xf>
    <xf numFmtId="0" fontId="201" fillId="0" borderId="36" xfId="0" applyFont="1" applyFill="1" applyBorder="1" applyAlignment="1">
      <alignment horizontal="left" vertical="center"/>
    </xf>
    <xf numFmtId="0" fontId="201" fillId="0" borderId="38" xfId="0" applyFont="1" applyFill="1" applyBorder="1" applyAlignment="1">
      <alignment vertical="center" wrapText="1"/>
    </xf>
    <xf numFmtId="1" fontId="201" fillId="0" borderId="64" xfId="0" applyNumberFormat="1" applyFont="1" applyFill="1" applyBorder="1" applyAlignment="1" applyProtection="1">
      <alignment vertical="center"/>
      <protection locked="0"/>
    </xf>
    <xf numFmtId="1" fontId="201" fillId="0" borderId="36" xfId="0" applyNumberFormat="1" applyFont="1" applyFill="1" applyBorder="1" applyAlignment="1" applyProtection="1">
      <alignment horizontal="right" vertical="center"/>
      <protection locked="0"/>
    </xf>
    <xf numFmtId="1" fontId="201" fillId="52" borderId="36" xfId="0" applyNumberFormat="1" applyFont="1" applyFill="1" applyBorder="1" applyAlignment="1" applyProtection="1">
      <alignment horizontal="right" vertical="center"/>
      <protection locked="0"/>
    </xf>
    <xf numFmtId="0" fontId="199" fillId="0" borderId="37" xfId="0" applyFont="1" applyFill="1" applyBorder="1" applyAlignment="1" applyProtection="1">
      <alignment horizontal="right" vertical="center" wrapText="1"/>
      <protection locked="0"/>
    </xf>
    <xf numFmtId="0" fontId="201" fillId="0" borderId="105" xfId="0" applyFont="1" applyFill="1" applyBorder="1" applyAlignment="1" applyProtection="1">
      <alignment horizontal="center" vertical="center"/>
      <protection locked="0"/>
    </xf>
    <xf numFmtId="0" fontId="201" fillId="0" borderId="105" xfId="0" applyFont="1" applyFill="1" applyBorder="1" applyAlignment="1" applyProtection="1">
      <alignment horizontal="left" vertical="center"/>
      <protection locked="0"/>
    </xf>
    <xf numFmtId="0" fontId="201" fillId="0" borderId="105" xfId="0" applyFont="1" applyFill="1" applyBorder="1" applyAlignment="1" applyProtection="1">
      <alignment horizontal="right" vertical="center"/>
      <protection locked="0"/>
    </xf>
    <xf numFmtId="0" fontId="203" fillId="0" borderId="45" xfId="0" applyFont="1" applyBorder="1" applyAlignment="1">
      <alignment horizontal="center" wrapText="1"/>
    </xf>
    <xf numFmtId="0" fontId="204" fillId="0" borderId="29" xfId="0" applyFont="1" applyBorder="1" applyAlignment="1">
      <alignment horizontal="center" vertical="center" wrapText="1"/>
    </xf>
    <xf numFmtId="0" fontId="203" fillId="0" borderId="29" xfId="0" applyFont="1" applyBorder="1" applyAlignment="1">
      <alignment horizontal="center" wrapText="1"/>
    </xf>
    <xf numFmtId="205" fontId="203" fillId="0" borderId="29" xfId="0" applyNumberFormat="1" applyFont="1" applyBorder="1" applyAlignment="1">
      <alignment wrapText="1"/>
    </xf>
    <xf numFmtId="205" fontId="205" fillId="0" borderId="29" xfId="0" applyNumberFormat="1" applyFont="1" applyBorder="1" applyAlignment="1">
      <alignment horizontal="center" vertical="center"/>
    </xf>
    <xf numFmtId="205" fontId="205" fillId="0" borderId="30" xfId="0" applyNumberFormat="1" applyFont="1" applyBorder="1" applyAlignment="1">
      <alignment horizontal="center" vertical="center"/>
    </xf>
    <xf numFmtId="0" fontId="206" fillId="0" borderId="79" xfId="0" applyFont="1" applyBorder="1" applyAlignment="1">
      <alignment horizontal="center" wrapText="1"/>
    </xf>
    <xf numFmtId="0" fontId="207" fillId="0" borderId="35" xfId="0" applyFont="1" applyBorder="1" applyAlignment="1">
      <alignment horizontal="center" vertical="center" wrapText="1"/>
    </xf>
    <xf numFmtId="0" fontId="206" fillId="0" borderId="35" xfId="0" applyFont="1" applyBorder="1" applyAlignment="1">
      <alignment horizontal="center" wrapText="1"/>
    </xf>
    <xf numFmtId="205" fontId="206" fillId="0" borderId="35" xfId="0" applyNumberFormat="1" applyFont="1" applyBorder="1" applyAlignment="1">
      <alignment wrapText="1"/>
    </xf>
    <xf numFmtId="205" fontId="208" fillId="0" borderId="35" xfId="0" applyNumberFormat="1" applyFont="1" applyBorder="1" applyAlignment="1">
      <alignment horizontal="center" vertical="center"/>
    </xf>
    <xf numFmtId="205" fontId="208" fillId="0" borderId="49" xfId="0" applyNumberFormat="1" applyFont="1" applyBorder="1" applyAlignment="1">
      <alignment horizontal="center" vertical="center"/>
    </xf>
    <xf numFmtId="0" fontId="206" fillId="0" borderId="48" xfId="0" applyFont="1" applyBorder="1" applyAlignment="1">
      <alignment horizontal="center" wrapText="1"/>
    </xf>
    <xf numFmtId="0" fontId="206" fillId="0" borderId="6" xfId="0" applyFont="1" applyBorder="1" applyAlignment="1">
      <alignment vertical="top" wrapText="1"/>
    </xf>
    <xf numFmtId="0" fontId="206" fillId="0" borderId="6" xfId="0" applyFont="1" applyBorder="1" applyAlignment="1">
      <alignment horizontal="center" wrapText="1"/>
    </xf>
    <xf numFmtId="205" fontId="206" fillId="0" borderId="6" xfId="0" applyNumberFormat="1" applyFont="1" applyBorder="1" applyAlignment="1">
      <alignment wrapText="1"/>
    </xf>
    <xf numFmtId="205" fontId="208" fillId="0" borderId="6" xfId="0" applyNumberFormat="1" applyFont="1" applyBorder="1" applyAlignment="1">
      <alignment horizontal="center" vertical="center"/>
    </xf>
    <xf numFmtId="205" fontId="208" fillId="0" borderId="31" xfId="0" applyNumberFormat="1" applyFont="1" applyBorder="1" applyAlignment="1">
      <alignment horizontal="center" vertical="center"/>
    </xf>
    <xf numFmtId="205" fontId="208" fillId="54" borderId="6" xfId="0" applyNumberFormat="1" applyFont="1" applyFill="1" applyBorder="1" applyAlignment="1">
      <alignment horizontal="center" vertical="center"/>
    </xf>
    <xf numFmtId="205" fontId="208" fillId="54" borderId="31" xfId="0" applyNumberFormat="1" applyFont="1" applyFill="1" applyBorder="1" applyAlignment="1">
      <alignment horizontal="center" vertical="center"/>
    </xf>
    <xf numFmtId="0" fontId="206" fillId="0" borderId="58" xfId="0" applyFont="1" applyBorder="1" applyAlignment="1">
      <alignment horizontal="center" wrapText="1"/>
    </xf>
    <xf numFmtId="0" fontId="206" fillId="0" borderId="61" xfId="0" applyFont="1" applyBorder="1" applyAlignment="1">
      <alignment horizontal="center" wrapText="1"/>
    </xf>
    <xf numFmtId="0" fontId="42" fillId="0" borderId="6" xfId="0" applyFont="1" applyBorder="1" applyAlignment="1">
      <alignment vertical="top" wrapText="1"/>
    </xf>
    <xf numFmtId="0" fontId="31" fillId="0" borderId="6" xfId="0" applyFont="1" applyBorder="1" applyAlignment="1">
      <alignment vertical="center" wrapText="1"/>
    </xf>
    <xf numFmtId="205" fontId="206" fillId="0" borderId="0" xfId="0" applyNumberFormat="1" applyFont="1" applyAlignment="1">
      <alignment wrapText="1"/>
    </xf>
    <xf numFmtId="0" fontId="31" fillId="0" borderId="34" xfId="0" applyFont="1" applyBorder="1" applyAlignment="1">
      <alignment vertical="center" wrapText="1"/>
    </xf>
    <xf numFmtId="205" fontId="208" fillId="0" borderId="6" xfId="0" applyNumberFormat="1" applyFont="1" applyBorder="1"/>
    <xf numFmtId="0" fontId="31" fillId="0" borderId="6" xfId="0" applyFont="1" applyBorder="1" applyAlignment="1">
      <alignment vertical="center"/>
    </xf>
    <xf numFmtId="2" fontId="208" fillId="0" borderId="0" xfId="0" applyNumberFormat="1" applyFont="1" applyFill="1" applyBorder="1" applyAlignment="1">
      <alignment horizontal="center" wrapText="1"/>
    </xf>
    <xf numFmtId="0" fontId="206" fillId="0" borderId="6" xfId="0" applyFont="1" applyBorder="1" applyAlignment="1">
      <alignment wrapText="1"/>
    </xf>
    <xf numFmtId="205" fontId="209" fillId="0" borderId="6" xfId="0" applyNumberFormat="1" applyFont="1" applyBorder="1" applyAlignment="1">
      <alignment wrapText="1"/>
    </xf>
    <xf numFmtId="0" fontId="180" fillId="0" borderId="6" xfId="0" applyFont="1" applyBorder="1" applyAlignment="1">
      <alignment horizontal="center" vertical="center" wrapText="1"/>
    </xf>
    <xf numFmtId="0" fontId="180" fillId="0" borderId="6" xfId="0" applyFont="1" applyBorder="1" applyAlignment="1">
      <alignment horizontal="center" vertical="center" textRotation="90" wrapText="1"/>
    </xf>
    <xf numFmtId="49" fontId="180" fillId="0" borderId="6" xfId="0" applyNumberFormat="1" applyFont="1" applyBorder="1" applyAlignment="1">
      <alignment horizontal="center"/>
    </xf>
    <xf numFmtId="0" fontId="180" fillId="0" borderId="6" xfId="0" applyFont="1" applyBorder="1" applyAlignment="1">
      <alignment horizontal="center"/>
    </xf>
    <xf numFmtId="1" fontId="180" fillId="0" borderId="6" xfId="0" applyNumberFormat="1" applyFont="1" applyFill="1" applyBorder="1" applyAlignment="1">
      <alignment horizontal="center" vertical="center" wrapText="1"/>
    </xf>
    <xf numFmtId="0" fontId="180" fillId="54" borderId="6" xfId="0" applyFont="1" applyFill="1" applyBorder="1" applyAlignment="1">
      <alignment horizontal="left" vertical="center" wrapText="1"/>
    </xf>
    <xf numFmtId="0" fontId="180" fillId="54" borderId="6" xfId="0" applyFont="1" applyFill="1" applyBorder="1" applyAlignment="1">
      <alignment horizontal="center" vertical="center" textRotation="90" wrapText="1"/>
    </xf>
    <xf numFmtId="0" fontId="180" fillId="54" borderId="6" xfId="0" applyFont="1" applyFill="1" applyBorder="1" applyAlignment="1">
      <alignment horizontal="center" vertical="center" wrapText="1"/>
    </xf>
    <xf numFmtId="206" fontId="180" fillId="54" borderId="6" xfId="0" applyNumberFormat="1" applyFont="1" applyFill="1" applyBorder="1" applyAlignment="1">
      <alignment horizontal="center" vertical="center" wrapText="1"/>
    </xf>
    <xf numFmtId="49" fontId="180" fillId="54" borderId="6" xfId="0" applyNumberFormat="1" applyFont="1" applyFill="1" applyBorder="1" applyAlignment="1">
      <alignment horizontal="center" vertical="center"/>
    </xf>
    <xf numFmtId="0" fontId="180" fillId="0" borderId="6" xfId="0" applyFont="1" applyFill="1" applyBorder="1" applyAlignment="1">
      <alignment horizontal="center" vertical="center" wrapText="1"/>
    </xf>
    <xf numFmtId="0" fontId="180" fillId="54" borderId="69" xfId="0" applyFont="1" applyFill="1" applyBorder="1" applyAlignment="1">
      <alignment horizontal="left" vertical="center" wrapText="1"/>
    </xf>
    <xf numFmtId="0" fontId="168" fillId="54" borderId="69" xfId="0" applyFont="1" applyFill="1" applyBorder="1" applyAlignment="1">
      <alignment wrapText="1"/>
    </xf>
    <xf numFmtId="0" fontId="168" fillId="54" borderId="69" xfId="0" applyFont="1" applyFill="1" applyBorder="1" applyAlignment="1">
      <alignment horizontal="center" wrapText="1"/>
    </xf>
    <xf numFmtId="0" fontId="168" fillId="0" borderId="0" xfId="0" applyFont="1" applyAlignment="1">
      <alignment horizontal="left"/>
    </xf>
    <xf numFmtId="49" fontId="168" fillId="0" borderId="16" xfId="0" applyNumberFormat="1" applyFont="1" applyFill="1" applyBorder="1" applyAlignment="1"/>
    <xf numFmtId="49" fontId="168" fillId="0" borderId="0" xfId="0" applyNumberFormat="1" applyFont="1" applyFill="1" applyBorder="1" applyAlignment="1"/>
    <xf numFmtId="0" fontId="32" fillId="0" borderId="0" xfId="0" applyFont="1" applyAlignment="1">
      <alignment horizontal="left"/>
    </xf>
    <xf numFmtId="0" fontId="168" fillId="0" borderId="69" xfId="0" applyFont="1" applyBorder="1" applyAlignment="1">
      <alignment horizontal="left"/>
    </xf>
    <xf numFmtId="0" fontId="32" fillId="0" borderId="69" xfId="0" applyFont="1" applyBorder="1" applyAlignment="1">
      <alignment horizontal="left"/>
    </xf>
    <xf numFmtId="0" fontId="32" fillId="0" borderId="78" xfId="0" applyFont="1" applyBorder="1" applyAlignment="1">
      <alignment horizontal="left"/>
    </xf>
    <xf numFmtId="0" fontId="180" fillId="0" borderId="6" xfId="0" applyFont="1" applyFill="1" applyBorder="1" applyAlignment="1">
      <alignment horizontal="left" vertical="center" wrapText="1"/>
    </xf>
    <xf numFmtId="0" fontId="180" fillId="0" borderId="69" xfId="0" applyFont="1" applyFill="1" applyBorder="1" applyAlignment="1">
      <alignment horizontal="left" vertical="center" wrapText="1"/>
    </xf>
    <xf numFmtId="0" fontId="168" fillId="0" borderId="69" xfId="0" applyFont="1" applyFill="1" applyBorder="1" applyAlignment="1">
      <alignment horizontal="center" wrapText="1"/>
    </xf>
    <xf numFmtId="0" fontId="180" fillId="54" borderId="69" xfId="0" applyFont="1" applyFill="1" applyBorder="1" applyAlignment="1">
      <alignment horizontal="center" vertical="center" wrapText="1"/>
    </xf>
    <xf numFmtId="0" fontId="180" fillId="54" borderId="69" xfId="0" applyFont="1" applyFill="1" applyBorder="1" applyAlignment="1">
      <alignment horizontal="center" vertical="center" textRotation="90" wrapText="1"/>
    </xf>
    <xf numFmtId="0" fontId="180" fillId="0" borderId="69" xfId="0" applyFont="1" applyFill="1" applyBorder="1" applyAlignment="1">
      <alignment horizontal="center" vertical="center" wrapText="1"/>
    </xf>
    <xf numFmtId="206" fontId="180" fillId="54" borderId="69" xfId="0" applyNumberFormat="1" applyFont="1" applyFill="1" applyBorder="1" applyAlignment="1">
      <alignment horizontal="center" vertical="center" wrapText="1"/>
    </xf>
    <xf numFmtId="49" fontId="180" fillId="54" borderId="69" xfId="0" applyNumberFormat="1" applyFont="1" applyFill="1" applyBorder="1" applyAlignment="1">
      <alignment horizontal="center" vertical="center"/>
    </xf>
    <xf numFmtId="0" fontId="168" fillId="0" borderId="69" xfId="0" applyFont="1" applyBorder="1" applyAlignment="1">
      <alignment horizontal="center" wrapText="1"/>
    </xf>
    <xf numFmtId="0" fontId="168" fillId="0" borderId="69" xfId="0" applyFont="1" applyFill="1" applyBorder="1" applyAlignment="1">
      <alignment horizontal="left" vertical="center" wrapText="1"/>
    </xf>
    <xf numFmtId="1" fontId="180" fillId="0" borderId="69" xfId="0" applyNumberFormat="1" applyFont="1" applyFill="1" applyBorder="1" applyAlignment="1">
      <alignment horizontal="center" vertical="center" wrapText="1"/>
    </xf>
    <xf numFmtId="0" fontId="168" fillId="54" borderId="69" xfId="0" applyFont="1" applyFill="1" applyBorder="1" applyAlignment="1">
      <alignment horizontal="left" vertical="center" wrapText="1"/>
    </xf>
    <xf numFmtId="0" fontId="210" fillId="0" borderId="0" xfId="0" applyFont="1" applyAlignment="1"/>
    <xf numFmtId="0" fontId="212" fillId="54" borderId="6" xfId="0" applyFont="1" applyFill="1" applyBorder="1" applyAlignment="1">
      <alignment horizontal="left" vertical="center" wrapText="1"/>
    </xf>
    <xf numFmtId="0" fontId="212" fillId="54" borderId="69" xfId="0" applyFont="1" applyFill="1" applyBorder="1" applyAlignment="1">
      <alignment horizontal="left" vertical="center" wrapText="1"/>
    </xf>
    <xf numFmtId="0" fontId="212" fillId="0" borderId="6" xfId="0" applyFont="1" applyFill="1" applyBorder="1" applyAlignment="1">
      <alignment horizontal="left" vertical="center" wrapText="1"/>
    </xf>
    <xf numFmtId="0" fontId="212" fillId="0" borderId="69" xfId="0" applyFont="1" applyFill="1" applyBorder="1" applyAlignment="1">
      <alignment horizontal="center" wrapText="1"/>
    </xf>
    <xf numFmtId="205" fontId="212" fillId="0" borderId="69" xfId="0" applyNumberFormat="1" applyFont="1" applyFill="1" applyBorder="1" applyAlignment="1">
      <alignment horizontal="center" wrapText="1"/>
    </xf>
    <xf numFmtId="0" fontId="214" fillId="0" borderId="69" xfId="0" applyFont="1" applyFill="1" applyBorder="1" applyAlignment="1">
      <alignment horizontal="center" vertical="center" wrapText="1"/>
    </xf>
    <xf numFmtId="0" fontId="198" fillId="0" borderId="69" xfId="0" applyFont="1" applyFill="1" applyBorder="1" applyAlignment="1">
      <alignment horizontal="center" vertical="center" wrapText="1"/>
    </xf>
    <xf numFmtId="0" fontId="217" fillId="0" borderId="0" xfId="0" applyFont="1" applyAlignment="1">
      <alignment horizontal="right"/>
    </xf>
    <xf numFmtId="0" fontId="217" fillId="0" borderId="0" xfId="0" applyFont="1" applyAlignment="1">
      <alignment horizontal="justify"/>
    </xf>
    <xf numFmtId="0" fontId="218" fillId="0" borderId="0" xfId="0" applyFont="1" applyAlignment="1">
      <alignment horizontal="justify"/>
    </xf>
    <xf numFmtId="0" fontId="217" fillId="0" borderId="0" xfId="0" applyFont="1" applyAlignment="1">
      <alignment horizontal="center"/>
    </xf>
    <xf numFmtId="0" fontId="219" fillId="0" borderId="0" xfId="0" applyFont="1"/>
    <xf numFmtId="0" fontId="219" fillId="0" borderId="0" xfId="0" applyFont="1" applyAlignment="1">
      <alignment horizontal="center"/>
    </xf>
    <xf numFmtId="0" fontId="219" fillId="0" borderId="0" xfId="0" applyFont="1" applyAlignment="1">
      <alignment horizontal="justify"/>
    </xf>
    <xf numFmtId="0" fontId="42" fillId="0" borderId="0" xfId="0" applyFont="1" applyAlignment="1">
      <alignment horizontal="justify"/>
    </xf>
    <xf numFmtId="0" fontId="206" fillId="0" borderId="0" xfId="0" applyFont="1" applyAlignment="1">
      <alignment horizontal="justify"/>
    </xf>
    <xf numFmtId="0" fontId="220" fillId="0" borderId="0" xfId="0" applyFont="1" applyAlignment="1">
      <alignment horizontal="justify"/>
    </xf>
    <xf numFmtId="0" fontId="217" fillId="0" borderId="0" xfId="0" applyFont="1"/>
    <xf numFmtId="0" fontId="177" fillId="0" borderId="0" xfId="0" applyFont="1" applyAlignment="1">
      <alignment horizontal="justify"/>
    </xf>
    <xf numFmtId="0" fontId="220" fillId="0" borderId="0" xfId="0" applyFont="1" applyAlignment="1">
      <alignment horizontal="right"/>
    </xf>
    <xf numFmtId="0" fontId="219" fillId="0" borderId="0" xfId="0" applyFont="1" applyAlignment="1">
      <alignment horizontal="right"/>
    </xf>
    <xf numFmtId="0" fontId="8" fillId="0" borderId="0" xfId="0" applyFont="1"/>
    <xf numFmtId="0" fontId="218" fillId="0" borderId="0" xfId="0" applyFont="1"/>
    <xf numFmtId="0" fontId="217" fillId="0" borderId="94" xfId="0" applyFont="1" applyBorder="1" applyAlignment="1">
      <alignment horizontal="center" vertical="top" wrapText="1"/>
    </xf>
    <xf numFmtId="0" fontId="217" fillId="0" borderId="47" xfId="0" applyFont="1" applyBorder="1" applyAlignment="1">
      <alignment horizontal="center" vertical="top" wrapText="1"/>
    </xf>
    <xf numFmtId="0" fontId="217" fillId="0" borderId="95" xfId="0" applyFont="1" applyBorder="1" applyAlignment="1">
      <alignment horizontal="center" vertical="top" wrapText="1"/>
    </xf>
    <xf numFmtId="0" fontId="217" fillId="0" borderId="33" xfId="0" applyFont="1" applyBorder="1" applyAlignment="1">
      <alignment horizontal="center" vertical="top" wrapText="1"/>
    </xf>
    <xf numFmtId="0" fontId="217" fillId="0" borderId="99" xfId="0" applyFont="1" applyBorder="1" applyAlignment="1">
      <alignment horizontal="center" vertical="top" wrapText="1"/>
    </xf>
    <xf numFmtId="0" fontId="217" fillId="0" borderId="96" xfId="0" applyFont="1" applyBorder="1" applyAlignment="1">
      <alignment horizontal="center" vertical="top" wrapText="1"/>
    </xf>
    <xf numFmtId="0" fontId="217" fillId="0" borderId="99" xfId="0" applyFont="1" applyBorder="1" applyAlignment="1">
      <alignment vertical="top" wrapText="1"/>
    </xf>
    <xf numFmtId="0" fontId="217" fillId="0" borderId="96" xfId="0" applyFont="1" applyBorder="1" applyAlignment="1">
      <alignment vertical="top" wrapText="1"/>
    </xf>
    <xf numFmtId="0" fontId="217" fillId="0" borderId="94" xfId="0" applyFont="1" applyBorder="1" applyAlignment="1">
      <alignment horizontal="center" wrapText="1"/>
    </xf>
    <xf numFmtId="0" fontId="217" fillId="0" borderId="47" xfId="0" applyFont="1" applyBorder="1" applyAlignment="1">
      <alignment horizontal="center" wrapText="1"/>
    </xf>
    <xf numFmtId="0" fontId="217" fillId="0" borderId="99" xfId="0" applyFont="1" applyBorder="1" applyAlignment="1">
      <alignment horizontal="center" wrapText="1"/>
    </xf>
    <xf numFmtId="0" fontId="217" fillId="0" borderId="96" xfId="0" applyFont="1" applyBorder="1" applyAlignment="1">
      <alignment horizontal="center" wrapText="1"/>
    </xf>
    <xf numFmtId="0" fontId="217" fillId="0" borderId="99" xfId="0" applyFont="1" applyBorder="1" applyAlignment="1">
      <alignment horizontal="justify" vertical="top" wrapText="1"/>
    </xf>
    <xf numFmtId="0" fontId="217" fillId="0" borderId="96" xfId="0" applyFont="1" applyBorder="1" applyAlignment="1">
      <alignment horizontal="justify" vertical="top" wrapText="1"/>
    </xf>
    <xf numFmtId="0" fontId="221" fillId="0" borderId="0" xfId="0" applyFont="1" applyAlignment="1">
      <alignment horizontal="justify"/>
    </xf>
    <xf numFmtId="0" fontId="36" fillId="0" borderId="0" xfId="1498"/>
    <xf numFmtId="0" fontId="38" fillId="0" borderId="0" xfId="1498" applyFont="1" applyAlignment="1">
      <alignment wrapText="1"/>
    </xf>
    <xf numFmtId="0" fontId="36" fillId="0" borderId="0" xfId="1498" applyFont="1" applyAlignment="1">
      <alignment wrapText="1"/>
    </xf>
    <xf numFmtId="0" fontId="36" fillId="0" borderId="0" xfId="1498" applyFont="1"/>
    <xf numFmtId="0" fontId="36" fillId="0" borderId="0" xfId="1498" applyAlignment="1">
      <alignment wrapText="1"/>
    </xf>
    <xf numFmtId="0" fontId="36" fillId="0" borderId="43" xfId="1498" applyFont="1" applyBorder="1" applyAlignment="1">
      <alignment horizontal="center" vertical="top" wrapText="1"/>
    </xf>
    <xf numFmtId="0" fontId="36" fillId="0" borderId="99" xfId="1498" applyFont="1" applyBorder="1" applyAlignment="1">
      <alignment horizontal="center" vertical="top" wrapText="1"/>
    </xf>
    <xf numFmtId="0" fontId="36" fillId="0" borderId="96" xfId="1498" applyFont="1" applyBorder="1" applyAlignment="1">
      <alignment horizontal="center" vertical="top" wrapText="1"/>
    </xf>
    <xf numFmtId="0" fontId="36" fillId="0" borderId="99" xfId="1498" applyFont="1" applyBorder="1" applyAlignment="1">
      <alignment horizontal="center" vertical="center" wrapText="1"/>
    </xf>
    <xf numFmtId="0" fontId="36" fillId="0" borderId="96" xfId="1498" applyFont="1" applyBorder="1" applyAlignment="1">
      <alignment horizontal="center" vertical="center" wrapText="1"/>
    </xf>
    <xf numFmtId="0" fontId="36" fillId="0" borderId="99" xfId="1498" applyFont="1" applyBorder="1" applyAlignment="1">
      <alignment horizontal="left" vertical="top" wrapText="1"/>
    </xf>
    <xf numFmtId="0" fontId="36" fillId="0" borderId="96" xfId="1498" applyFont="1" applyBorder="1" applyAlignment="1">
      <alignment vertical="top" wrapText="1"/>
    </xf>
    <xf numFmtId="0" fontId="36" fillId="0" borderId="96" xfId="1498" applyFont="1" applyBorder="1" applyAlignment="1">
      <alignment vertical="center" wrapText="1"/>
    </xf>
    <xf numFmtId="0" fontId="222" fillId="0" borderId="0" xfId="1498" applyFont="1" applyAlignment="1">
      <alignment horizontal="left"/>
    </xf>
    <xf numFmtId="0" fontId="223" fillId="0" borderId="0" xfId="1498" applyFont="1" applyAlignment="1">
      <alignment horizontal="justify"/>
    </xf>
    <xf numFmtId="0" fontId="223" fillId="0" borderId="16" xfId="1498" applyFont="1" applyBorder="1" applyAlignment="1">
      <alignment horizontal="center" vertical="center"/>
    </xf>
    <xf numFmtId="0" fontId="36" fillId="0" borderId="0" xfId="1498" applyFont="1" applyAlignment="1">
      <alignment horizontal="justify"/>
    </xf>
    <xf numFmtId="0" fontId="36" fillId="0" borderId="53" xfId="1498" applyFont="1" applyBorder="1" applyAlignment="1">
      <alignment vertical="top" wrapText="1"/>
    </xf>
    <xf numFmtId="0" fontId="158" fillId="0" borderId="43" xfId="1185" applyBorder="1" applyAlignment="1" applyProtection="1">
      <alignment vertical="top" wrapText="1"/>
    </xf>
    <xf numFmtId="0" fontId="36" fillId="0" borderId="95" xfId="1498" applyFont="1" applyBorder="1" applyAlignment="1">
      <alignment vertical="top" wrapText="1"/>
    </xf>
    <xf numFmtId="164" fontId="224" fillId="0" borderId="53" xfId="1498" applyNumberFormat="1" applyFont="1" applyBorder="1" applyAlignment="1">
      <alignment vertical="top" wrapText="1"/>
    </xf>
    <xf numFmtId="0" fontId="158" fillId="0" borderId="47" xfId="1185" applyBorder="1" applyAlignment="1" applyProtection="1">
      <alignment vertical="top" wrapText="1"/>
    </xf>
    <xf numFmtId="0" fontId="36" fillId="0" borderId="99" xfId="1498" applyBorder="1" applyAlignment="1">
      <alignment wrapText="1"/>
    </xf>
    <xf numFmtId="0" fontId="36" fillId="0" borderId="53" xfId="1498" applyBorder="1" applyAlignment="1">
      <alignment wrapText="1"/>
    </xf>
    <xf numFmtId="0" fontId="36" fillId="0" borderId="53" xfId="1498" applyBorder="1" applyAlignment="1">
      <alignment horizontal="center" vertical="center"/>
    </xf>
    <xf numFmtId="0" fontId="225" fillId="0" borderId="0" xfId="0" applyFont="1"/>
    <xf numFmtId="0" fontId="195" fillId="0" borderId="0" xfId="0" applyFont="1"/>
    <xf numFmtId="0" fontId="212" fillId="0" borderId="0" xfId="0" applyFont="1"/>
    <xf numFmtId="0" fontId="212" fillId="0" borderId="45" xfId="0" applyFont="1" applyBorder="1" applyAlignment="1">
      <alignment horizontal="center" vertical="top" wrapText="1"/>
    </xf>
    <xf numFmtId="0" fontId="212" fillId="0" borderId="29" xfId="0" applyFont="1" applyBorder="1" applyAlignment="1">
      <alignment horizontal="center" vertical="top" wrapText="1"/>
    </xf>
    <xf numFmtId="0" fontId="212" fillId="0" borderId="48" xfId="0" applyFont="1" applyBorder="1" applyAlignment="1">
      <alignment horizontal="center" vertical="top" wrapText="1"/>
    </xf>
    <xf numFmtId="0" fontId="212" fillId="0" borderId="6" xfId="0" applyFont="1" applyBorder="1" applyAlignment="1">
      <alignment horizontal="center" vertical="top" wrapText="1"/>
    </xf>
    <xf numFmtId="0" fontId="180" fillId="0" borderId="48" xfId="0" applyFont="1" applyBorder="1" applyAlignment="1">
      <alignment horizontal="center" vertical="center" wrapText="1"/>
    </xf>
    <xf numFmtId="0" fontId="195" fillId="0" borderId="59" xfId="0" applyFont="1" applyBorder="1" applyAlignment="1">
      <alignment horizontal="center" vertical="center"/>
    </xf>
    <xf numFmtId="0" fontId="195" fillId="0" borderId="69" xfId="0" applyFont="1" applyBorder="1" applyAlignment="1">
      <alignment horizontal="center" vertical="center"/>
    </xf>
    <xf numFmtId="0" fontId="195" fillId="0" borderId="78" xfId="0" applyFont="1" applyBorder="1" applyAlignment="1">
      <alignment horizontal="center" vertical="center"/>
    </xf>
    <xf numFmtId="0" fontId="226" fillId="0" borderId="48" xfId="0" applyFont="1" applyBorder="1" applyAlignment="1">
      <alignment horizontal="left" vertical="top" wrapText="1"/>
    </xf>
    <xf numFmtId="0" fontId="226" fillId="0" borderId="6" xfId="0" applyFont="1" applyBorder="1" applyAlignment="1">
      <alignment horizontal="left" vertical="top" wrapText="1"/>
    </xf>
    <xf numFmtId="4" fontId="195" fillId="0" borderId="59" xfId="0" applyNumberFormat="1" applyFont="1" applyBorder="1"/>
    <xf numFmtId="4" fontId="195" fillId="0" borderId="69" xfId="0" applyNumberFormat="1" applyFont="1" applyBorder="1"/>
    <xf numFmtId="4" fontId="195" fillId="0" borderId="78" xfId="0" applyNumberFormat="1" applyFont="1" applyBorder="1"/>
    <xf numFmtId="0" fontId="212" fillId="0" borderId="48" xfId="0" applyFont="1" applyBorder="1" applyAlignment="1">
      <alignment vertical="top" wrapText="1"/>
    </xf>
    <xf numFmtId="0" fontId="212" fillId="0" borderId="6" xfId="0" applyFont="1" applyBorder="1" applyAlignment="1">
      <alignment vertical="top" wrapText="1"/>
    </xf>
    <xf numFmtId="4" fontId="227" fillId="0" borderId="0" xfId="0" applyNumberFormat="1" applyFont="1"/>
    <xf numFmtId="4" fontId="195" fillId="0" borderId="0" xfId="0" applyNumberFormat="1" applyFont="1"/>
    <xf numFmtId="0" fontId="227" fillId="0" borderId="0" xfId="0" applyFont="1"/>
    <xf numFmtId="0" fontId="32" fillId="0" borderId="48" xfId="0" applyFont="1" applyBorder="1" applyAlignment="1">
      <alignment vertical="top" wrapText="1"/>
    </xf>
    <xf numFmtId="0" fontId="32" fillId="0" borderId="6" xfId="0" applyFont="1" applyBorder="1" applyAlignment="1">
      <alignment vertical="top" wrapText="1"/>
    </xf>
    <xf numFmtId="4" fontId="177" fillId="0" borderId="59" xfId="0" applyNumberFormat="1" applyFont="1" applyBorder="1"/>
    <xf numFmtId="4" fontId="177" fillId="0" borderId="69" xfId="0" applyNumberFormat="1" applyFont="1" applyBorder="1"/>
    <xf numFmtId="4" fontId="177" fillId="0" borderId="78" xfId="0" applyNumberFormat="1" applyFont="1" applyBorder="1"/>
    <xf numFmtId="4" fontId="195" fillId="0" borderId="59" xfId="0" applyNumberFormat="1" applyFont="1" applyBorder="1" applyAlignment="1">
      <alignment horizontal="center"/>
    </xf>
    <xf numFmtId="4" fontId="195" fillId="0" borderId="69" xfId="0" applyNumberFormat="1" applyFont="1" applyBorder="1" applyAlignment="1">
      <alignment horizontal="center"/>
    </xf>
    <xf numFmtId="4" fontId="195" fillId="0" borderId="78" xfId="0" applyNumberFormat="1" applyFont="1" applyBorder="1" applyAlignment="1">
      <alignment horizontal="center"/>
    </xf>
    <xf numFmtId="4" fontId="195" fillId="0" borderId="59" xfId="0" applyNumberFormat="1" applyFont="1" applyBorder="1" applyAlignment="1">
      <alignment horizontal="right"/>
    </xf>
    <xf numFmtId="4" fontId="195" fillId="0" borderId="69" xfId="0" applyNumberFormat="1" applyFont="1" applyBorder="1" applyAlignment="1">
      <alignment horizontal="right"/>
    </xf>
    <xf numFmtId="4" fontId="195" fillId="0" borderId="78" xfId="0" applyNumberFormat="1" applyFont="1" applyBorder="1" applyAlignment="1">
      <alignment horizontal="right"/>
    </xf>
    <xf numFmtId="0" fontId="195" fillId="0" borderId="48" xfId="0" applyFont="1" applyBorder="1"/>
    <xf numFmtId="0" fontId="195" fillId="0" borderId="6" xfId="0" applyFont="1" applyBorder="1" applyAlignment="1">
      <alignment wrapText="1"/>
    </xf>
    <xf numFmtId="0" fontId="195" fillId="0" borderId="59" xfId="0" applyFont="1" applyBorder="1"/>
    <xf numFmtId="0" fontId="195" fillId="0" borderId="69" xfId="0" applyFont="1" applyBorder="1"/>
    <xf numFmtId="0" fontId="195" fillId="0" borderId="78" xfId="0" applyFont="1" applyBorder="1"/>
    <xf numFmtId="0" fontId="226" fillId="0" borderId="80" xfId="0" applyFont="1" applyBorder="1" applyAlignment="1">
      <alignment horizontal="left" vertical="top" wrapText="1"/>
    </xf>
    <xf numFmtId="0" fontId="226" fillId="0" borderId="34" xfId="0" applyFont="1" applyBorder="1" applyAlignment="1">
      <alignment horizontal="left" vertical="top" wrapText="1"/>
    </xf>
    <xf numFmtId="4" fontId="195" fillId="0" borderId="60" xfId="0" applyNumberFormat="1" applyFont="1" applyBorder="1" applyAlignment="1">
      <alignment horizontal="center"/>
    </xf>
    <xf numFmtId="4" fontId="195" fillId="0" borderId="103" xfId="0" applyNumberFormat="1" applyFont="1" applyBorder="1" applyAlignment="1">
      <alignment horizontal="center"/>
    </xf>
    <xf numFmtId="4" fontId="195" fillId="0" borderId="60" xfId="0" applyNumberFormat="1" applyFont="1" applyBorder="1"/>
    <xf numFmtId="4" fontId="195" fillId="0" borderId="60" xfId="0" applyNumberFormat="1" applyFont="1" applyBorder="1" applyAlignment="1">
      <alignment horizontal="right"/>
    </xf>
    <xf numFmtId="4" fontId="195" fillId="0" borderId="106" xfId="0" applyNumberFormat="1" applyFont="1" applyBorder="1"/>
    <xf numFmtId="0" fontId="226" fillId="0" borderId="26" xfId="0" applyFont="1" applyBorder="1" applyAlignment="1">
      <alignment horizontal="left" vertical="top" wrapText="1"/>
    </xf>
    <xf numFmtId="0" fontId="226" fillId="0" borderId="24" xfId="0" applyFont="1" applyBorder="1" applyAlignment="1">
      <alignment horizontal="left" vertical="top" wrapText="1"/>
    </xf>
    <xf numFmtId="4" fontId="195" fillId="0" borderId="53" xfId="0" applyNumberFormat="1" applyFont="1" applyBorder="1"/>
    <xf numFmtId="4" fontId="195" fillId="0" borderId="55" xfId="0" applyNumberFormat="1" applyFont="1" applyBorder="1"/>
    <xf numFmtId="4" fontId="195" fillId="0" borderId="105" xfId="0" applyNumberFormat="1" applyFont="1" applyBorder="1"/>
    <xf numFmtId="0" fontId="226" fillId="0" borderId="40" xfId="0" applyFont="1" applyBorder="1" applyAlignment="1">
      <alignment horizontal="left" vertical="top" wrapText="1"/>
    </xf>
    <xf numFmtId="0" fontId="226" fillId="0" borderId="1" xfId="0" applyFont="1" applyBorder="1" applyAlignment="1">
      <alignment horizontal="left" vertical="top" wrapText="1"/>
    </xf>
    <xf numFmtId="4" fontId="195" fillId="0" borderId="95" xfId="0" applyNumberFormat="1" applyFont="1" applyBorder="1"/>
    <xf numFmtId="4" fontId="195" fillId="0" borderId="21" xfId="0" applyNumberFormat="1" applyFont="1" applyBorder="1"/>
    <xf numFmtId="4" fontId="195" fillId="0" borderId="0" xfId="0" applyNumberFormat="1" applyFont="1" applyBorder="1"/>
    <xf numFmtId="4" fontId="195" fillId="0" borderId="39" xfId="0" applyNumberFormat="1" applyFont="1" applyBorder="1"/>
    <xf numFmtId="0" fontId="168" fillId="0" borderId="0" xfId="1506" applyFont="1"/>
    <xf numFmtId="0" fontId="32" fillId="0" borderId="0" xfId="1506" applyFont="1" applyAlignment="1">
      <alignment horizontal="right"/>
    </xf>
    <xf numFmtId="0" fontId="168" fillId="55" borderId="48" xfId="1506" applyFont="1" applyFill="1" applyBorder="1" applyAlignment="1">
      <alignment horizontal="center"/>
    </xf>
    <xf numFmtId="0" fontId="168" fillId="55" borderId="6" xfId="1506" applyFont="1" applyFill="1" applyBorder="1" applyAlignment="1">
      <alignment horizontal="center"/>
    </xf>
    <xf numFmtId="0" fontId="168" fillId="55" borderId="59" xfId="1506" applyFont="1" applyFill="1" applyBorder="1" applyAlignment="1">
      <alignment horizontal="center"/>
    </xf>
    <xf numFmtId="3" fontId="168" fillId="55" borderId="59" xfId="1506" applyNumberFormat="1" applyFont="1" applyFill="1" applyBorder="1" applyAlignment="1">
      <alignment horizontal="center"/>
    </xf>
    <xf numFmtId="0" fontId="168" fillId="55" borderId="31" xfId="1506" applyFont="1" applyFill="1" applyBorder="1" applyAlignment="1">
      <alignment horizontal="center"/>
    </xf>
    <xf numFmtId="0" fontId="168" fillId="55" borderId="61" xfId="1506" applyFont="1" applyFill="1" applyBorder="1" applyAlignment="1">
      <alignment horizontal="center"/>
    </xf>
    <xf numFmtId="0" fontId="32" fillId="0" borderId="48" xfId="1506" applyFont="1" applyBorder="1" applyAlignment="1">
      <alignment horizontal="center" vertical="top"/>
    </xf>
    <xf numFmtId="0" fontId="212" fillId="0" borderId="6" xfId="1506" applyFont="1" applyBorder="1"/>
    <xf numFmtId="0" fontId="168" fillId="0" borderId="59" xfId="1506" applyFont="1" applyBorder="1"/>
    <xf numFmtId="4" fontId="168" fillId="0" borderId="59" xfId="1506" applyNumberFormat="1" applyFont="1" applyBorder="1"/>
    <xf numFmtId="0" fontId="168" fillId="0" borderId="48" xfId="1506" applyFont="1" applyBorder="1"/>
    <xf numFmtId="0" fontId="168" fillId="0" borderId="31" xfId="1506" applyFont="1" applyBorder="1"/>
    <xf numFmtId="0" fontId="195" fillId="0" borderId="61" xfId="0" applyFont="1" applyBorder="1"/>
    <xf numFmtId="0" fontId="195" fillId="0" borderId="31" xfId="0" applyFont="1" applyBorder="1"/>
    <xf numFmtId="0" fontId="226" fillId="0" borderId="6" xfId="1506" applyFont="1" applyBorder="1"/>
    <xf numFmtId="4" fontId="171" fillId="0" borderId="59" xfId="1506" applyNumberFormat="1" applyFont="1" applyBorder="1"/>
    <xf numFmtId="4" fontId="171" fillId="0" borderId="59" xfId="1506" applyNumberFormat="1" applyFont="1" applyFill="1" applyBorder="1"/>
    <xf numFmtId="4" fontId="171" fillId="0" borderId="48" xfId="1506" applyNumberFormat="1" applyFont="1" applyBorder="1"/>
    <xf numFmtId="4" fontId="171" fillId="0" borderId="31" xfId="1506" applyNumberFormat="1" applyFont="1" applyBorder="1"/>
    <xf numFmtId="4" fontId="171" fillId="0" borderId="61" xfId="1506" applyNumberFormat="1" applyFont="1" applyFill="1" applyBorder="1"/>
    <xf numFmtId="4" fontId="171" fillId="0" borderId="31" xfId="1506" applyNumberFormat="1" applyFont="1" applyFill="1" applyBorder="1"/>
    <xf numFmtId="4" fontId="168" fillId="0" borderId="59" xfId="1506" applyNumberFormat="1" applyFont="1" applyFill="1" applyBorder="1"/>
    <xf numFmtId="4" fontId="168" fillId="0" borderId="48" xfId="1506" applyNumberFormat="1" applyFont="1" applyBorder="1"/>
    <xf numFmtId="4" fontId="168" fillId="0" borderId="31" xfId="1506" applyNumberFormat="1" applyFont="1" applyBorder="1"/>
    <xf numFmtId="4" fontId="168" fillId="0" borderId="61" xfId="1506" applyNumberFormat="1" applyFont="1" applyFill="1" applyBorder="1"/>
    <xf numFmtId="4" fontId="168" fillId="0" borderId="31" xfId="1506" applyNumberFormat="1" applyFont="1" applyFill="1" applyBorder="1"/>
    <xf numFmtId="4" fontId="8" fillId="0" borderId="61" xfId="0" applyNumberFormat="1" applyFont="1" applyBorder="1"/>
    <xf numFmtId="4" fontId="8" fillId="0" borderId="31" xfId="0" applyNumberFormat="1" applyFont="1" applyBorder="1"/>
    <xf numFmtId="0" fontId="212" fillId="0" borderId="6" xfId="1506" applyFont="1" applyBorder="1" applyAlignment="1">
      <alignment wrapText="1"/>
    </xf>
    <xf numFmtId="0" fontId="226" fillId="0" borderId="6" xfId="1506" applyFont="1" applyBorder="1" applyAlignment="1">
      <alignment wrapText="1"/>
    </xf>
    <xf numFmtId="4" fontId="171" fillId="0" borderId="48" xfId="1506" applyNumberFormat="1" applyFont="1" applyFill="1" applyBorder="1"/>
    <xf numFmtId="4" fontId="168" fillId="0" borderId="48" xfId="1506" applyNumberFormat="1" applyFont="1" applyBorder="1" applyAlignment="1">
      <alignment horizontal="right"/>
    </xf>
    <xf numFmtId="4" fontId="171" fillId="0" borderId="48" xfId="1506" applyNumberFormat="1" applyFont="1" applyBorder="1" applyAlignment="1">
      <alignment horizontal="right"/>
    </xf>
    <xf numFmtId="0" fontId="212" fillId="0" borderId="6" xfId="1506" applyFont="1" applyBorder="1" applyAlignment="1">
      <alignment vertical="top" wrapText="1"/>
    </xf>
    <xf numFmtId="207" fontId="8" fillId="0" borderId="31" xfId="0" applyNumberFormat="1" applyFont="1" applyBorder="1"/>
    <xf numFmtId="0" fontId="168" fillId="0" borderId="6" xfId="1506" applyFont="1" applyBorder="1" applyAlignment="1">
      <alignment horizontal="left" wrapText="1"/>
    </xf>
    <xf numFmtId="4" fontId="171" fillId="0" borderId="61" xfId="1506" applyNumberFormat="1" applyFont="1" applyBorder="1"/>
    <xf numFmtId="4" fontId="5" fillId="0" borderId="61" xfId="0" applyNumberFormat="1" applyFont="1" applyBorder="1"/>
    <xf numFmtId="4" fontId="5" fillId="0" borderId="31" xfId="0" applyNumberFormat="1" applyFont="1" applyBorder="1"/>
    <xf numFmtId="16" fontId="32" fillId="0" borderId="48" xfId="1506" applyNumberFormat="1" applyFont="1" applyBorder="1" applyAlignment="1">
      <alignment horizontal="center" vertical="top"/>
    </xf>
    <xf numFmtId="16" fontId="32" fillId="0" borderId="80" xfId="1506" applyNumberFormat="1" applyFont="1" applyBorder="1" applyAlignment="1">
      <alignment horizontal="center" vertical="top"/>
    </xf>
    <xf numFmtId="0" fontId="226" fillId="0" borderId="34" xfId="1506" applyFont="1" applyBorder="1"/>
    <xf numFmtId="4" fontId="171" fillId="0" borderId="63" xfId="1506" applyNumberFormat="1" applyFont="1" applyBorder="1"/>
    <xf numFmtId="4" fontId="171" fillId="0" borderId="50" xfId="1506" applyNumberFormat="1" applyFont="1" applyBorder="1"/>
    <xf numFmtId="4" fontId="171" fillId="0" borderId="38" xfId="1506" applyNumberFormat="1" applyFont="1" applyBorder="1"/>
    <xf numFmtId="4" fontId="171" fillId="0" borderId="64" xfId="1506" applyNumberFormat="1" applyFont="1" applyBorder="1"/>
    <xf numFmtId="16" fontId="32" fillId="0" borderId="26" xfId="1506" applyNumberFormat="1" applyFont="1" applyBorder="1" applyAlignment="1">
      <alignment horizontal="center" vertical="top"/>
    </xf>
    <xf numFmtId="0" fontId="226" fillId="0" borderId="25" xfId="1506" applyFont="1" applyBorder="1"/>
    <xf numFmtId="16" fontId="32" fillId="0" borderId="42" xfId="1506" applyNumberFormat="1" applyFont="1" applyBorder="1" applyAlignment="1">
      <alignment horizontal="center" vertical="top"/>
    </xf>
    <xf numFmtId="0" fontId="226" fillId="0" borderId="37" xfId="1506" applyFont="1" applyBorder="1"/>
    <xf numFmtId="2" fontId="195" fillId="0" borderId="0" xfId="0" applyNumberFormat="1" applyFont="1"/>
    <xf numFmtId="0" fontId="141" fillId="0" borderId="0" xfId="0" applyFont="1" applyAlignment="1">
      <alignment horizontal="centerContinuous" vertical="center"/>
    </xf>
    <xf numFmtId="0" fontId="0" fillId="0" borderId="0" xfId="0" applyAlignment="1">
      <alignment horizontal="centerContinuous"/>
    </xf>
    <xf numFmtId="0" fontId="200" fillId="0" borderId="107" xfId="0" applyFont="1" applyBorder="1" applyAlignment="1">
      <alignment horizontal="centerContinuous" vertical="center"/>
    </xf>
    <xf numFmtId="0" fontId="200" fillId="0" borderId="108" xfId="0" applyFont="1" applyBorder="1" applyAlignment="1">
      <alignment horizontal="centerContinuous" vertical="center"/>
    </xf>
    <xf numFmtId="0" fontId="200" fillId="0" borderId="109" xfId="0" applyFont="1" applyBorder="1" applyAlignment="1">
      <alignment horizontal="centerContinuous" vertical="center"/>
    </xf>
    <xf numFmtId="0" fontId="228" fillId="0" borderId="110" xfId="0" applyFont="1" applyBorder="1" applyAlignment="1">
      <alignment horizontal="center" vertical="center" wrapText="1"/>
    </xf>
    <xf numFmtId="0" fontId="228" fillId="0" borderId="21" xfId="0" applyFont="1" applyBorder="1" applyAlignment="1">
      <alignment horizontal="center" vertical="center" wrapText="1"/>
    </xf>
    <xf numFmtId="0" fontId="228" fillId="0" borderId="111" xfId="0" applyFont="1" applyBorder="1" applyAlignment="1">
      <alignment horizontal="center" vertical="center" wrapText="1"/>
    </xf>
    <xf numFmtId="4" fontId="0" fillId="0" borderId="112" xfId="0" applyNumberFormat="1" applyBorder="1" applyAlignment="1">
      <alignment horizontal="right" vertical="center"/>
    </xf>
    <xf numFmtId="4" fontId="0" fillId="0" borderId="113" xfId="0" applyNumberFormat="1" applyBorder="1" applyAlignment="1">
      <alignment horizontal="right" vertical="center"/>
    </xf>
    <xf numFmtId="4" fontId="0" fillId="0" borderId="114" xfId="0" applyNumberFormat="1" applyBorder="1" applyAlignment="1">
      <alignment horizontal="right" vertical="center"/>
    </xf>
    <xf numFmtId="4" fontId="0" fillId="0" borderId="115" xfId="0" applyNumberFormat="1" applyBorder="1" applyAlignment="1">
      <alignment horizontal="right" vertical="center"/>
    </xf>
    <xf numFmtId="0" fontId="200" fillId="0" borderId="6" xfId="0" applyFont="1" applyBorder="1" applyAlignment="1">
      <alignment horizontal="centerContinuous" vertical="center"/>
    </xf>
    <xf numFmtId="0" fontId="228" fillId="0" borderId="6" xfId="0" applyFont="1" applyBorder="1" applyAlignment="1">
      <alignment horizontal="center" vertical="center" wrapText="1"/>
    </xf>
    <xf numFmtId="4" fontId="0" fillId="0" borderId="6" xfId="0" applyNumberFormat="1" applyBorder="1" applyAlignment="1">
      <alignment horizontal="right" vertical="center"/>
    </xf>
    <xf numFmtId="4" fontId="0" fillId="0" borderId="6" xfId="0" applyNumberFormat="1" applyFill="1" applyBorder="1" applyAlignment="1">
      <alignment horizontal="right" vertical="center"/>
    </xf>
    <xf numFmtId="0" fontId="144" fillId="0" borderId="0" xfId="0" applyFont="1" applyAlignment="1"/>
    <xf numFmtId="0" fontId="0" fillId="0" borderId="0" xfId="0" applyAlignment="1"/>
    <xf numFmtId="0" fontId="200" fillId="0" borderId="107" xfId="0" applyFont="1" applyBorder="1" applyAlignment="1">
      <alignment horizontal="center" vertical="center"/>
    </xf>
    <xf numFmtId="0" fontId="0" fillId="0" borderId="116" xfId="0" applyFont="1" applyBorder="1" applyAlignment="1">
      <alignment vertical="center" wrapText="1"/>
    </xf>
    <xf numFmtId="2" fontId="0" fillId="0" borderId="117" xfId="0" applyNumberFormat="1" applyFont="1" applyBorder="1" applyAlignment="1">
      <alignment horizontal="right" vertical="center"/>
    </xf>
    <xf numFmtId="2" fontId="0" fillId="0" borderId="6" xfId="0" applyNumberFormat="1" applyFont="1" applyBorder="1" applyAlignment="1">
      <alignment horizontal="right" vertical="center"/>
    </xf>
    <xf numFmtId="2" fontId="0" fillId="0" borderId="18" xfId="0" applyNumberFormat="1" applyFont="1" applyBorder="1" applyAlignment="1">
      <alignment horizontal="right" vertical="center"/>
    </xf>
    <xf numFmtId="4" fontId="0" fillId="0" borderId="117" xfId="0" applyNumberFormat="1" applyFont="1" applyBorder="1" applyAlignment="1">
      <alignment horizontal="right" vertical="center"/>
    </xf>
    <xf numFmtId="4" fontId="0" fillId="0" borderId="78" xfId="0" applyNumberFormat="1" applyFont="1" applyBorder="1" applyAlignment="1">
      <alignment horizontal="right" vertical="center"/>
    </xf>
    <xf numFmtId="4" fontId="0" fillId="0" borderId="6" xfId="0" applyNumberFormat="1" applyFont="1" applyBorder="1" applyAlignment="1">
      <alignment horizontal="right" vertical="center"/>
    </xf>
    <xf numFmtId="4" fontId="0" fillId="0" borderId="18" xfId="0" applyNumberFormat="1" applyFont="1" applyBorder="1" applyAlignment="1">
      <alignment horizontal="right" vertical="center"/>
    </xf>
    <xf numFmtId="2" fontId="0" fillId="0" borderId="78" xfId="0" applyNumberFormat="1" applyFont="1" applyBorder="1" applyAlignment="1">
      <alignment horizontal="right" vertical="center"/>
    </xf>
    <xf numFmtId="0" fontId="27" fillId="0" borderId="0" xfId="1182" applyFont="1" applyAlignment="1" applyProtection="1">
      <alignment horizontal="left" vertical="center"/>
    </xf>
    <xf numFmtId="0" fontId="200" fillId="0" borderId="6" xfId="0" applyFont="1" applyBorder="1" applyAlignment="1">
      <alignment horizontal="center" vertical="center"/>
    </xf>
    <xf numFmtId="4" fontId="229" fillId="0" borderId="118" xfId="0" applyNumberFormat="1" applyFont="1" applyFill="1" applyBorder="1" applyAlignment="1">
      <alignment horizontal="center" vertical="top" wrapText="1"/>
    </xf>
    <xf numFmtId="4" fontId="229" fillId="0" borderId="118" xfId="0" applyNumberFormat="1" applyFont="1" applyFill="1" applyBorder="1" applyAlignment="1">
      <alignment vertical="top" wrapText="1"/>
    </xf>
    <xf numFmtId="0" fontId="0" fillId="0" borderId="6" xfId="0" applyFont="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horizontal="right" vertical="center"/>
    </xf>
    <xf numFmtId="0" fontId="0" fillId="0" borderId="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117" xfId="0" applyFont="1" applyBorder="1" applyAlignment="1">
      <alignment horizontal="right" vertical="center"/>
    </xf>
    <xf numFmtId="0" fontId="0" fillId="0" borderId="6" xfId="0" applyFont="1" applyBorder="1" applyAlignment="1">
      <alignment horizontal="right" vertical="center"/>
    </xf>
    <xf numFmtId="0" fontId="0" fillId="0" borderId="18" xfId="0" applyFont="1" applyBorder="1" applyAlignment="1">
      <alignment horizontal="right" vertical="center"/>
    </xf>
    <xf numFmtId="0" fontId="0" fillId="0" borderId="78" xfId="0" applyFont="1" applyBorder="1" applyAlignment="1">
      <alignment horizontal="right" vertical="center"/>
    </xf>
    <xf numFmtId="4" fontId="0" fillId="0" borderId="0" xfId="0" applyNumberFormat="1" applyAlignment="1"/>
    <xf numFmtId="4" fontId="144" fillId="0" borderId="0" xfId="0" applyNumberFormat="1" applyFont="1" applyAlignment="1"/>
    <xf numFmtId="4" fontId="0" fillId="0" borderId="0" xfId="0" applyNumberFormat="1" applyAlignment="1">
      <alignment horizontal="centerContinuous"/>
    </xf>
    <xf numFmtId="4" fontId="141" fillId="0" borderId="0" xfId="0" applyNumberFormat="1" applyFont="1" applyAlignment="1">
      <alignment horizontal="centerContinuous" vertical="center"/>
    </xf>
    <xf numFmtId="4" fontId="200" fillId="0" borderId="6" xfId="0" applyNumberFormat="1" applyFont="1" applyBorder="1" applyAlignment="1">
      <alignment horizontal="centerContinuous" vertical="center"/>
    </xf>
    <xf numFmtId="4" fontId="200" fillId="0" borderId="6" xfId="0" applyNumberFormat="1" applyFont="1" applyBorder="1" applyAlignment="1">
      <alignment horizontal="center" vertical="center"/>
    </xf>
    <xf numFmtId="4" fontId="228" fillId="0" borderId="6" xfId="0" applyNumberFormat="1" applyFont="1" applyBorder="1" applyAlignment="1">
      <alignment horizontal="center" vertical="center" wrapText="1"/>
    </xf>
    <xf numFmtId="4" fontId="0" fillId="0" borderId="6" xfId="0" applyNumberFormat="1" applyFont="1" applyBorder="1" applyAlignment="1">
      <alignment vertical="center"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center"/>
    </xf>
    <xf numFmtId="0" fontId="230" fillId="54" borderId="6" xfId="0" applyNumberFormat="1" applyFont="1" applyFill="1" applyBorder="1" applyAlignment="1">
      <alignment horizontal="left" vertical="top" wrapText="1"/>
    </xf>
    <xf numFmtId="0" fontId="230" fillId="54" borderId="6" xfId="0" applyNumberFormat="1" applyFont="1" applyFill="1" applyBorder="1" applyAlignment="1">
      <alignment horizontal="right" vertical="top" wrapText="1"/>
    </xf>
    <xf numFmtId="208" fontId="230" fillId="54" borderId="6" xfId="0" applyNumberFormat="1" applyFont="1" applyFill="1" applyBorder="1" applyAlignment="1">
      <alignment horizontal="right" vertical="top" wrapText="1"/>
    </xf>
    <xf numFmtId="208" fontId="0" fillId="0" borderId="0" xfId="0" applyNumberFormat="1"/>
    <xf numFmtId="202" fontId="0" fillId="0" borderId="0" xfId="0" applyNumberFormat="1"/>
    <xf numFmtId="14" fontId="167" fillId="0" borderId="0" xfId="0" applyNumberFormat="1" applyFont="1"/>
    <xf numFmtId="0" fontId="101" fillId="54" borderId="6" xfId="1504" applyFont="1" applyFill="1" applyBorder="1" applyAlignment="1" applyProtection="1">
      <alignment vertical="center" wrapText="1"/>
    </xf>
    <xf numFmtId="4" fontId="101" fillId="0" borderId="6" xfId="1303" applyFont="1" applyFill="1" applyBorder="1" applyAlignment="1" applyProtection="1">
      <alignment horizontal="right" vertical="center" wrapText="1"/>
    </xf>
    <xf numFmtId="0" fontId="101" fillId="0" borderId="6" xfId="1499" applyFont="1" applyFill="1" applyBorder="1" applyAlignment="1" applyProtection="1">
      <alignment horizontal="left" vertical="center" wrapText="1" indent="1"/>
    </xf>
    <xf numFmtId="0" fontId="34" fillId="0" borderId="6" xfId="1301" applyFont="1" applyFill="1" applyBorder="1" applyAlignment="1" applyProtection="1">
      <alignment horizontal="center" vertical="center" wrapText="1"/>
    </xf>
    <xf numFmtId="49" fontId="231" fillId="54" borderId="6" xfId="1301" applyNumberFormat="1" applyFont="1" applyFill="1" applyBorder="1" applyAlignment="1" applyProtection="1">
      <alignment horizontal="center" vertical="center" wrapText="1"/>
    </xf>
    <xf numFmtId="0" fontId="101" fillId="54" borderId="6" xfId="1504" applyFont="1" applyFill="1" applyBorder="1" applyAlignment="1" applyProtection="1">
      <alignment horizontal="center" vertical="center" wrapText="1"/>
    </xf>
    <xf numFmtId="0" fontId="101" fillId="0" borderId="6" xfId="1504" applyFont="1" applyFill="1" applyBorder="1" applyAlignment="1" applyProtection="1">
      <alignment vertical="center" wrapText="1"/>
    </xf>
    <xf numFmtId="0" fontId="101" fillId="3" borderId="6" xfId="1504" applyFont="1" applyFill="1" applyBorder="1" applyAlignment="1" applyProtection="1">
      <alignment horizontal="left" vertical="center" wrapText="1" indent="1"/>
    </xf>
    <xf numFmtId="4" fontId="101" fillId="4" borderId="6" xfId="1504" applyNumberFormat="1" applyFont="1" applyFill="1" applyBorder="1" applyAlignment="1" applyProtection="1">
      <alignment horizontal="center" vertical="center" wrapText="1"/>
      <protection locked="0"/>
    </xf>
    <xf numFmtId="49" fontId="101" fillId="4" borderId="6" xfId="1504" applyNumberFormat="1" applyFont="1" applyFill="1" applyBorder="1" applyAlignment="1" applyProtection="1">
      <alignment horizontal="center" vertical="center" wrapText="1"/>
      <protection locked="0"/>
    </xf>
    <xf numFmtId="4" fontId="101" fillId="4" borderId="6" xfId="1504" applyNumberFormat="1" applyFont="1" applyFill="1" applyBorder="1" applyAlignment="1" applyProtection="1">
      <alignment vertical="center" wrapText="1"/>
      <protection locked="0"/>
    </xf>
    <xf numFmtId="0" fontId="142" fillId="54" borderId="6" xfId="1504" applyFont="1" applyFill="1" applyBorder="1" applyAlignment="1" applyProtection="1">
      <alignment horizontal="center" vertical="center" wrapText="1"/>
    </xf>
    <xf numFmtId="49" fontId="101" fillId="4" borderId="6" xfId="1504" applyNumberFormat="1" applyFont="1" applyFill="1" applyBorder="1" applyAlignment="1" applyProtection="1">
      <alignment vertical="center" wrapText="1"/>
      <protection locked="0"/>
    </xf>
    <xf numFmtId="0" fontId="232" fillId="0" borderId="119" xfId="0" applyFont="1" applyBorder="1" applyAlignment="1">
      <alignment horizontal="center" wrapText="1"/>
    </xf>
    <xf numFmtId="0" fontId="232" fillId="0" borderId="120" xfId="0" applyFont="1" applyBorder="1" applyAlignment="1">
      <alignment horizontal="center" wrapText="1"/>
    </xf>
    <xf numFmtId="0" fontId="232" fillId="0" borderId="121" xfId="0" applyFont="1" applyBorder="1" applyAlignment="1">
      <alignment horizontal="center" wrapText="1"/>
    </xf>
    <xf numFmtId="0" fontId="34" fillId="0" borderId="120" xfId="0" applyFont="1" applyBorder="1" applyAlignment="1">
      <alignment wrapText="1"/>
    </xf>
    <xf numFmtId="0" fontId="232" fillId="0" borderId="122" xfId="0" applyFont="1" applyBorder="1" applyAlignment="1">
      <alignment horizontal="center" wrapText="1"/>
    </xf>
    <xf numFmtId="0" fontId="233" fillId="0" borderId="123" xfId="0" applyFont="1" applyBorder="1" applyAlignment="1">
      <alignment horizontal="center" wrapText="1"/>
    </xf>
    <xf numFmtId="0" fontId="234" fillId="0" borderId="124" xfId="0" applyFont="1" applyBorder="1" applyAlignment="1">
      <alignment horizontal="center" wrapText="1"/>
    </xf>
    <xf numFmtId="4" fontId="232" fillId="0" borderId="125" xfId="0" applyNumberFormat="1" applyFont="1" applyBorder="1" applyAlignment="1">
      <alignment wrapText="1"/>
    </xf>
    <xf numFmtId="4" fontId="232" fillId="0" borderId="126" xfId="0" applyNumberFormat="1" applyFont="1" applyBorder="1" applyAlignment="1">
      <alignment wrapText="1"/>
    </xf>
    <xf numFmtId="0" fontId="233" fillId="0" borderId="0" xfId="0" applyFont="1" applyBorder="1" applyAlignment="1">
      <alignment horizontal="center" wrapText="1"/>
    </xf>
    <xf numFmtId="0" fontId="234" fillId="0" borderId="0" xfId="0" applyFont="1" applyBorder="1" applyAlignment="1">
      <alignment horizontal="center" wrapText="1"/>
    </xf>
    <xf numFmtId="4" fontId="232" fillId="0" borderId="0" xfId="0" applyNumberFormat="1" applyFont="1" applyBorder="1" applyAlignment="1">
      <alignment wrapText="1"/>
    </xf>
    <xf numFmtId="0" fontId="101" fillId="0" borderId="6" xfId="1504" applyFont="1" applyFill="1" applyBorder="1" applyAlignment="1" applyProtection="1">
      <alignment horizontal="center" vertical="center" wrapText="1"/>
    </xf>
    <xf numFmtId="0" fontId="101" fillId="0" borderId="6" xfId="1504" applyFont="1" applyFill="1" applyBorder="1" applyAlignment="1" applyProtection="1">
      <alignment horizontal="left" vertical="center" wrapText="1" indent="1"/>
    </xf>
    <xf numFmtId="4" fontId="101" fillId="0" borderId="6" xfId="1504" applyNumberFormat="1" applyFont="1" applyFill="1" applyBorder="1" applyAlignment="1" applyProtection="1">
      <alignment vertical="center" wrapText="1"/>
      <protection locked="0"/>
    </xf>
    <xf numFmtId="49" fontId="101" fillId="0" borderId="6" xfId="1504" applyNumberFormat="1" applyFont="1" applyFill="1" applyBorder="1" applyAlignment="1" applyProtection="1">
      <alignment vertical="center" wrapText="1"/>
      <protection locked="0"/>
    </xf>
    <xf numFmtId="0" fontId="38" fillId="0" borderId="0" xfId="1498" applyFont="1" applyAlignment="1">
      <alignment horizontal="center"/>
    </xf>
    <xf numFmtId="0" fontId="38" fillId="0" borderId="0" xfId="1498" applyFont="1"/>
    <xf numFmtId="164" fontId="36" fillId="52" borderId="0" xfId="1498" applyNumberFormat="1" applyFill="1" applyAlignment="1">
      <alignment horizontal="center" vertical="center"/>
    </xf>
    <xf numFmtId="0" fontId="38" fillId="52" borderId="0" xfId="1498" applyFont="1" applyFill="1" applyAlignment="1">
      <alignment horizontal="center"/>
    </xf>
    <xf numFmtId="0" fontId="38" fillId="0" borderId="6" xfId="1498" applyFont="1" applyBorder="1" applyAlignment="1">
      <alignment horizontal="center"/>
    </xf>
    <xf numFmtId="0" fontId="36" fillId="0" borderId="16" xfId="1498" applyBorder="1"/>
    <xf numFmtId="0" fontId="236" fillId="0" borderId="0" xfId="1498" applyFont="1"/>
    <xf numFmtId="0" fontId="236" fillId="0" borderId="0" xfId="1498" applyFont="1" applyAlignment="1">
      <alignment horizontal="center"/>
    </xf>
    <xf numFmtId="164" fontId="38" fillId="52" borderId="0" xfId="1498" applyNumberFormat="1" applyFont="1" applyFill="1" applyAlignment="1">
      <alignment horizontal="center" vertical="center"/>
    </xf>
    <xf numFmtId="0" fontId="237" fillId="0" borderId="0" xfId="1498" applyFont="1"/>
    <xf numFmtId="0" fontId="36" fillId="0" borderId="0" xfId="1498" applyFill="1"/>
    <xf numFmtId="0" fontId="36" fillId="0" borderId="0" xfId="1498" applyFont="1" applyFill="1" applyAlignment="1">
      <alignment horizontal="center"/>
    </xf>
    <xf numFmtId="0" fontId="36" fillId="0" borderId="0" xfId="1498" applyFont="1" applyFill="1"/>
    <xf numFmtId="0" fontId="223" fillId="0" borderId="0" xfId="1498" applyFont="1" applyFill="1"/>
    <xf numFmtId="0" fontId="223" fillId="0" borderId="0" xfId="1498" applyFont="1"/>
    <xf numFmtId="0" fontId="36" fillId="0" borderId="84" xfId="1498" applyFont="1" applyFill="1" applyBorder="1" applyAlignment="1">
      <alignment horizontal="center" vertical="top" wrapText="1"/>
    </xf>
    <xf numFmtId="0" fontId="36" fillId="0" borderId="127" xfId="1498" applyFont="1" applyBorder="1" applyAlignment="1">
      <alignment horizontal="center" vertical="top" wrapText="1"/>
    </xf>
    <xf numFmtId="0" fontId="36" fillId="0" borderId="128" xfId="1498" applyFont="1" applyBorder="1" applyAlignment="1">
      <alignment horizontal="center" vertical="top" wrapText="1"/>
    </xf>
    <xf numFmtId="0" fontId="36" fillId="0" borderId="84" xfId="1498" applyFont="1" applyBorder="1" applyAlignment="1">
      <alignment horizontal="center" vertical="top" wrapText="1"/>
    </xf>
    <xf numFmtId="0" fontId="158" fillId="0" borderId="0" xfId="1185" applyAlignment="1" applyProtection="1"/>
    <xf numFmtId="0" fontId="36" fillId="0" borderId="84" xfId="1498" applyFill="1" applyBorder="1" applyAlignment="1">
      <alignment vertical="top" wrapText="1"/>
    </xf>
    <xf numFmtId="0" fontId="36" fillId="0" borderId="84" xfId="1498" applyBorder="1" applyAlignment="1">
      <alignment vertical="top" wrapText="1"/>
    </xf>
    <xf numFmtId="0" fontId="36" fillId="0" borderId="84" xfId="1498" applyFont="1" applyFill="1" applyBorder="1" applyAlignment="1">
      <alignment horizontal="left" vertical="top" wrapText="1"/>
    </xf>
    <xf numFmtId="2" fontId="36" fillId="0" borderId="84" xfId="1498" applyNumberFormat="1" applyBorder="1" applyAlignment="1">
      <alignment vertical="top" wrapText="1"/>
    </xf>
    <xf numFmtId="2" fontId="36" fillId="0" borderId="84" xfId="1498" applyNumberFormat="1" applyFill="1" applyBorder="1" applyAlignment="1">
      <alignment vertical="top" wrapText="1"/>
    </xf>
    <xf numFmtId="0" fontId="36" fillId="0" borderId="84" xfId="1498" applyFont="1" applyBorder="1" applyAlignment="1">
      <alignment vertical="top" wrapText="1"/>
    </xf>
    <xf numFmtId="0" fontId="36" fillId="0" borderId="84" xfId="1498" applyFont="1" applyBorder="1" applyAlignment="1">
      <alignment horizontal="left" vertical="top" wrapText="1"/>
    </xf>
    <xf numFmtId="164" fontId="36" fillId="0" borderId="84" xfId="1498" applyNumberFormat="1" applyFill="1" applyBorder="1" applyAlignment="1">
      <alignment vertical="top" wrapText="1"/>
    </xf>
    <xf numFmtId="0" fontId="223" fillId="0" borderId="0" xfId="1498" applyFont="1" applyFill="1" applyAlignment="1">
      <alignment vertical="top"/>
    </xf>
    <xf numFmtId="164" fontId="36" fillId="0" borderId="84" xfId="1498" applyNumberFormat="1" applyBorder="1" applyAlignment="1">
      <alignment vertical="top" wrapText="1"/>
    </xf>
    <xf numFmtId="0" fontId="36" fillId="0" borderId="0" xfId="1460"/>
    <xf numFmtId="0" fontId="223" fillId="0" borderId="16" xfId="1460" applyFont="1" applyBorder="1" applyAlignment="1">
      <alignment horizontal="center" wrapText="1"/>
    </xf>
    <xf numFmtId="0" fontId="36" fillId="0" borderId="0" xfId="1460" applyFont="1" applyAlignment="1">
      <alignment horizontal="justify"/>
    </xf>
    <xf numFmtId="0" fontId="36" fillId="0" borderId="121" xfId="1460" applyFont="1" applyBorder="1" applyAlignment="1">
      <alignment horizontal="center" vertical="top" wrapText="1"/>
    </xf>
    <xf numFmtId="0" fontId="36" fillId="0" borderId="129" xfId="1460" applyFont="1" applyBorder="1" applyAlignment="1">
      <alignment horizontal="center" vertical="top" wrapText="1"/>
    </xf>
    <xf numFmtId="0" fontId="36" fillId="0" borderId="130" xfId="1460" applyFont="1" applyBorder="1" applyAlignment="1">
      <alignment horizontal="center" vertical="top" wrapText="1"/>
    </xf>
    <xf numFmtId="0" fontId="36" fillId="0" borderId="131" xfId="1460" applyFont="1" applyBorder="1" applyAlignment="1">
      <alignment vertical="top" wrapText="1"/>
    </xf>
    <xf numFmtId="0" fontId="36" fillId="0" borderId="131" xfId="1460" applyFont="1" applyBorder="1" applyAlignment="1">
      <alignment horizontal="center" vertical="top" wrapText="1"/>
    </xf>
    <xf numFmtId="49" fontId="36" fillId="0" borderId="130" xfId="1460" applyNumberFormat="1" applyFont="1" applyBorder="1" applyAlignment="1">
      <alignment horizontal="center" vertical="top" wrapText="1"/>
    </xf>
    <xf numFmtId="0" fontId="36" fillId="0" borderId="132" xfId="1460" applyFont="1" applyBorder="1" applyAlignment="1">
      <alignment horizontal="justify" vertical="top" wrapText="1"/>
    </xf>
    <xf numFmtId="0" fontId="36" fillId="0" borderId="132" xfId="1460" applyFont="1" applyBorder="1" applyAlignment="1">
      <alignment horizontal="center" vertical="top" wrapText="1"/>
    </xf>
    <xf numFmtId="0" fontId="36" fillId="0" borderId="131" xfId="1460" applyBorder="1" applyAlignment="1">
      <alignment vertical="top" wrapText="1"/>
    </xf>
    <xf numFmtId="0" fontId="36" fillId="0" borderId="132" xfId="1460" applyFont="1" applyBorder="1" applyAlignment="1">
      <alignment vertical="top" wrapText="1"/>
    </xf>
    <xf numFmtId="0" fontId="223" fillId="0" borderId="16" xfId="1460" applyFont="1" applyBorder="1" applyAlignment="1">
      <alignment horizontal="justify"/>
    </xf>
    <xf numFmtId="0" fontId="36" fillId="0" borderId="16" xfId="1460" applyBorder="1"/>
    <xf numFmtId="0" fontId="36" fillId="0" borderId="0" xfId="1460" applyFont="1" applyAlignment="1">
      <alignment horizontal="center"/>
    </xf>
    <xf numFmtId="0" fontId="36" fillId="0" borderId="0" xfId="1460" applyFont="1"/>
    <xf numFmtId="0" fontId="233" fillId="0" borderId="0" xfId="1460" applyFont="1"/>
    <xf numFmtId="0" fontId="36" fillId="0" borderId="0" xfId="1460" applyAlignment="1">
      <alignment horizontal="left"/>
    </xf>
    <xf numFmtId="0" fontId="36" fillId="0" borderId="0" xfId="1460" applyAlignment="1">
      <alignment vertical="center"/>
    </xf>
    <xf numFmtId="0" fontId="36" fillId="0" borderId="0" xfId="1498" applyFont="1" applyAlignment="1">
      <alignment horizontal="center"/>
    </xf>
    <xf numFmtId="0" fontId="36" fillId="0" borderId="0" xfId="1460" applyAlignment="1">
      <alignment vertical="top"/>
    </xf>
    <xf numFmtId="0" fontId="144" fillId="0" borderId="0" xfId="1460" applyFont="1"/>
    <xf numFmtId="0" fontId="144" fillId="0" borderId="0" xfId="1460" applyFont="1" applyAlignment="1">
      <alignment horizontal="center"/>
    </xf>
    <xf numFmtId="0" fontId="33" fillId="0" borderId="0" xfId="1498" applyFont="1" applyAlignment="1">
      <alignment horizontal="justify"/>
    </xf>
    <xf numFmtId="0" fontId="141" fillId="0" borderId="0" xfId="1460" applyFont="1"/>
    <xf numFmtId="0" fontId="177" fillId="0" borderId="94" xfId="0" applyFont="1" applyBorder="1" applyAlignment="1">
      <alignment horizontal="right" indent="15"/>
    </xf>
    <xf numFmtId="0" fontId="32" fillId="0" borderId="0" xfId="0" applyFont="1" applyAlignment="1">
      <alignment wrapText="1"/>
    </xf>
    <xf numFmtId="0" fontId="177" fillId="0" borderId="95" xfId="0" applyFont="1" applyBorder="1" applyAlignment="1">
      <alignment horizontal="right" indent="15"/>
    </xf>
    <xf numFmtId="0" fontId="240" fillId="0" borderId="95" xfId="0" applyFont="1" applyBorder="1" applyAlignment="1">
      <alignment horizontal="right" indent="15"/>
    </xf>
    <xf numFmtId="0" fontId="8" fillId="0" borderId="95" xfId="0" applyFont="1" applyBorder="1" applyAlignment="1">
      <alignment horizontal="right"/>
    </xf>
    <xf numFmtId="0" fontId="187" fillId="0" borderId="95" xfId="0" applyFont="1" applyBorder="1" applyAlignment="1">
      <alignment horizontal="center"/>
    </xf>
    <xf numFmtId="0" fontId="168" fillId="0" borderId="128" xfId="0" applyFont="1" applyBorder="1" applyAlignment="1">
      <alignment horizontal="center" vertical="center" wrapText="1"/>
    </xf>
    <xf numFmtId="0" fontId="168" fillId="0" borderId="84" xfId="0" applyFont="1" applyBorder="1" applyAlignment="1">
      <alignment horizontal="center" vertical="center" wrapText="1"/>
    </xf>
    <xf numFmtId="0" fontId="168" fillId="0" borderId="127" xfId="0" applyFont="1" applyBorder="1" applyAlignment="1">
      <alignment horizontal="center" vertical="center" wrapText="1"/>
    </xf>
    <xf numFmtId="0" fontId="188" fillId="0" borderId="95" xfId="0" applyFont="1" applyBorder="1" applyAlignment="1">
      <alignment horizontal="center" wrapText="1"/>
    </xf>
    <xf numFmtId="0" fontId="188" fillId="0" borderId="0" xfId="0" applyFont="1" applyAlignment="1">
      <alignment wrapText="1"/>
    </xf>
    <xf numFmtId="0" fontId="168" fillId="0" borderId="0" xfId="0" applyFont="1" applyAlignment="1">
      <alignment horizontal="center" vertical="top" wrapText="1"/>
    </xf>
    <xf numFmtId="0" fontId="168" fillId="0" borderId="0" xfId="0" applyFont="1" applyAlignment="1">
      <alignment horizontal="left" vertical="top" wrapText="1"/>
    </xf>
    <xf numFmtId="0" fontId="168" fillId="0" borderId="0" xfId="0" applyFont="1" applyAlignment="1">
      <alignment horizontal="center" vertical="top"/>
    </xf>
    <xf numFmtId="0" fontId="177" fillId="0" borderId="95" xfId="0" applyFont="1" applyBorder="1" applyAlignment="1">
      <alignment horizontal="center" vertical="top" wrapText="1"/>
    </xf>
    <xf numFmtId="0" fontId="177" fillId="0" borderId="0" xfId="0" applyFont="1" applyAlignment="1">
      <alignment horizontal="center" vertical="top" wrapText="1"/>
    </xf>
    <xf numFmtId="4" fontId="168" fillId="0" borderId="0" xfId="0" applyNumberFormat="1" applyFont="1" applyAlignment="1">
      <alignment horizontal="center" vertical="top"/>
    </xf>
    <xf numFmtId="0" fontId="8" fillId="0" borderId="95" xfId="0" applyFont="1" applyBorder="1" applyAlignment="1">
      <alignment horizontal="center"/>
    </xf>
    <xf numFmtId="0" fontId="177" fillId="0" borderId="95" xfId="0" applyFont="1" applyBorder="1" applyAlignment="1">
      <alignment horizontal="center"/>
    </xf>
    <xf numFmtId="0" fontId="8" fillId="0" borderId="95" xfId="0" applyFont="1" applyBorder="1"/>
    <xf numFmtId="0" fontId="242" fillId="0" borderId="99" xfId="0" applyFont="1" applyBorder="1"/>
    <xf numFmtId="0" fontId="188" fillId="0" borderId="95" xfId="0" applyFont="1" applyBorder="1" applyAlignment="1">
      <alignment horizontal="center"/>
    </xf>
    <xf numFmtId="0" fontId="168" fillId="0" borderId="0" xfId="0" applyFont="1" applyAlignment="1">
      <alignment horizontal="center" wrapText="1"/>
    </xf>
    <xf numFmtId="0" fontId="168" fillId="0" borderId="0" xfId="0" applyFont="1" applyAlignment="1">
      <alignment horizontal="left" wrapText="1"/>
    </xf>
    <xf numFmtId="164" fontId="168" fillId="54" borderId="0" xfId="0" applyNumberFormat="1" applyFont="1" applyFill="1" applyAlignment="1">
      <alignment horizontal="center"/>
    </xf>
    <xf numFmtId="3" fontId="168" fillId="0" borderId="0" xfId="0" applyNumberFormat="1" applyFont="1" applyAlignment="1">
      <alignment horizontal="center" vertical="center"/>
    </xf>
    <xf numFmtId="4" fontId="168" fillId="54" borderId="0" xfId="0" applyNumberFormat="1" applyFont="1" applyFill="1" applyAlignment="1">
      <alignment horizontal="center" vertical="top"/>
    </xf>
    <xf numFmtId="0" fontId="168" fillId="54" borderId="0" xfId="0" applyFont="1" applyFill="1" applyAlignment="1">
      <alignment horizontal="center" vertical="top"/>
    </xf>
    <xf numFmtId="0" fontId="8" fillId="0" borderId="95" xfId="0" applyFont="1" applyBorder="1" applyAlignment="1">
      <alignment horizontal="left"/>
    </xf>
    <xf numFmtId="0" fontId="186" fillId="0" borderId="0" xfId="0" applyFont="1" applyAlignment="1">
      <alignment horizontal="left" vertical="top" wrapText="1"/>
    </xf>
    <xf numFmtId="0" fontId="8" fillId="0" borderId="99" xfId="0" applyFont="1" applyBorder="1" applyAlignment="1">
      <alignment horizontal="left"/>
    </xf>
    <xf numFmtId="0" fontId="168" fillId="0" borderId="0" xfId="0" applyFont="1" applyBorder="1" applyAlignment="1">
      <alignment horizontal="center" vertical="top" wrapText="1"/>
    </xf>
    <xf numFmtId="0" fontId="168" fillId="0" borderId="0" xfId="0" applyFont="1" applyBorder="1" applyAlignment="1">
      <alignment horizontal="left" vertical="top" wrapText="1"/>
    </xf>
    <xf numFmtId="0" fontId="168" fillId="0" borderId="0" xfId="0" applyFont="1" applyBorder="1" applyAlignment="1">
      <alignment horizontal="center" vertical="top"/>
    </xf>
    <xf numFmtId="0" fontId="186" fillId="0" borderId="0" xfId="0" applyFont="1" applyBorder="1" applyAlignment="1">
      <alignment horizontal="left" vertical="top" wrapText="1"/>
    </xf>
    <xf numFmtId="0" fontId="168" fillId="0" borderId="16" xfId="0" applyFont="1" applyBorder="1" applyAlignment="1">
      <alignment horizontal="center" vertical="top" wrapText="1"/>
    </xf>
    <xf numFmtId="0" fontId="168" fillId="0" borderId="16" xfId="0" applyFont="1" applyBorder="1" applyAlignment="1">
      <alignment horizontal="left" vertical="top" wrapText="1"/>
    </xf>
    <xf numFmtId="0" fontId="168" fillId="0" borderId="16" xfId="0" applyFont="1" applyBorder="1" applyAlignment="1">
      <alignment horizontal="center" vertical="top"/>
    </xf>
    <xf numFmtId="0" fontId="244" fillId="0" borderId="0" xfId="0" applyFont="1"/>
    <xf numFmtId="0" fontId="32" fillId="0" borderId="0" xfId="0" applyFont="1"/>
    <xf numFmtId="0" fontId="0" fillId="49" borderId="0" xfId="0" applyFill="1"/>
    <xf numFmtId="0" fontId="244" fillId="49" borderId="0" xfId="0" applyFont="1" applyFill="1"/>
    <xf numFmtId="0" fontId="32" fillId="49" borderId="0" xfId="0" applyFont="1" applyFill="1"/>
    <xf numFmtId="164" fontId="168" fillId="0" borderId="0" xfId="0" applyNumberFormat="1" applyFont="1" applyAlignment="1">
      <alignment horizontal="center"/>
    </xf>
    <xf numFmtId="0" fontId="177" fillId="0" borderId="0" xfId="0" applyFont="1" applyAlignment="1">
      <alignment horizontal="left" indent="15"/>
    </xf>
    <xf numFmtId="0" fontId="195" fillId="0" borderId="6" xfId="1505" applyFont="1" applyBorder="1" applyAlignment="1">
      <alignment horizontal="center" vertical="center" wrapText="1"/>
    </xf>
    <xf numFmtId="0" fontId="195" fillId="0" borderId="69" xfId="1505" applyFont="1" applyBorder="1" applyAlignment="1">
      <alignment horizontal="center" vertical="center" wrapText="1"/>
    </xf>
    <xf numFmtId="0" fontId="195" fillId="0" borderId="0" xfId="1505" applyFont="1" applyBorder="1" applyAlignment="1">
      <alignment horizontal="center" vertical="top" wrapText="1"/>
    </xf>
    <xf numFmtId="0" fontId="195" fillId="0" borderId="0" xfId="1505" applyFont="1" applyBorder="1" applyAlignment="1">
      <alignment horizontal="left" vertical="top" wrapText="1"/>
    </xf>
    <xf numFmtId="0" fontId="195" fillId="0" borderId="0" xfId="1505" applyFont="1" applyBorder="1" applyAlignment="1">
      <alignment horizontal="center" vertical="top"/>
    </xf>
    <xf numFmtId="0" fontId="189" fillId="0" borderId="0" xfId="1505" applyFont="1" applyBorder="1" applyAlignment="1">
      <alignment horizontal="center" vertical="top" wrapText="1"/>
    </xf>
    <xf numFmtId="0" fontId="189" fillId="0" borderId="0" xfId="1505" applyFont="1" applyBorder="1" applyAlignment="1">
      <alignment horizontal="left" vertical="top" wrapText="1"/>
    </xf>
    <xf numFmtId="0" fontId="189" fillId="0" borderId="0" xfId="1505" applyFont="1" applyBorder="1" applyAlignment="1">
      <alignment horizontal="center" vertical="top"/>
    </xf>
    <xf numFmtId="0" fontId="212" fillId="0" borderId="0" xfId="0" applyFont="1" applyAlignment="1">
      <alignment vertical="top"/>
    </xf>
    <xf numFmtId="4" fontId="195" fillId="0" borderId="0" xfId="1505" applyNumberFormat="1" applyFont="1" applyBorder="1" applyAlignment="1">
      <alignment horizontal="center" vertical="top"/>
    </xf>
    <xf numFmtId="2" fontId="195" fillId="0" borderId="0" xfId="1505" applyNumberFormat="1" applyFont="1" applyBorder="1" applyAlignment="1">
      <alignment horizontal="center" vertical="top"/>
    </xf>
    <xf numFmtId="0" fontId="192" fillId="0" borderId="0" xfId="1505" applyFont="1" applyBorder="1" applyAlignment="1">
      <alignment horizontal="center" vertical="top" wrapText="1"/>
    </xf>
    <xf numFmtId="0" fontId="192" fillId="0" borderId="0" xfId="1505" applyFont="1" applyBorder="1" applyAlignment="1">
      <alignment horizontal="left" vertical="top" wrapText="1"/>
    </xf>
    <xf numFmtId="0" fontId="192" fillId="0" borderId="0" xfId="1505" applyFont="1" applyBorder="1" applyAlignment="1">
      <alignment horizontal="center" vertical="top"/>
    </xf>
    <xf numFmtId="0" fontId="192" fillId="0" borderId="16" xfId="1505" applyFont="1" applyBorder="1" applyAlignment="1">
      <alignment horizontal="center" vertical="top" wrapText="1"/>
    </xf>
    <xf numFmtId="0" fontId="192" fillId="0" borderId="16" xfId="1505" applyFont="1" applyBorder="1" applyAlignment="1">
      <alignment horizontal="left" vertical="top" wrapText="1"/>
    </xf>
    <xf numFmtId="0" fontId="192" fillId="0" borderId="16" xfId="1505" applyFont="1" applyBorder="1" applyAlignment="1">
      <alignment horizontal="center" vertical="top"/>
    </xf>
    <xf numFmtId="0" fontId="27" fillId="49" borderId="0" xfId="1182" applyFont="1" applyFill="1" applyAlignment="1" applyProtection="1">
      <alignment horizontal="left" vertical="center"/>
    </xf>
    <xf numFmtId="164" fontId="195" fillId="0" borderId="0" xfId="1505" applyNumberFormat="1" applyFont="1" applyBorder="1" applyAlignment="1">
      <alignment horizontal="center" vertical="top"/>
    </xf>
    <xf numFmtId="0" fontId="35" fillId="0" borderId="67" xfId="0" applyFont="1" applyFill="1" applyBorder="1"/>
    <xf numFmtId="0" fontId="35" fillId="0" borderId="35" xfId="0" applyFont="1" applyFill="1" applyBorder="1" applyAlignment="1">
      <alignment horizontal="center" vertical="center"/>
    </xf>
    <xf numFmtId="9" fontId="35" fillId="0" borderId="35" xfId="0" applyNumberFormat="1" applyFont="1" applyFill="1" applyBorder="1" applyAlignment="1">
      <alignment horizontal="center" vertical="center" wrapText="1"/>
    </xf>
    <xf numFmtId="0" fontId="40" fillId="0" borderId="6" xfId="0" applyFont="1" applyFill="1" applyBorder="1" applyAlignment="1">
      <alignment horizontal="center" vertical="center"/>
    </xf>
    <xf numFmtId="0" fontId="40" fillId="0" borderId="35" xfId="0" applyFont="1" applyFill="1" applyBorder="1" applyAlignment="1">
      <alignment horizontal="center" vertical="center" wrapText="1"/>
    </xf>
    <xf numFmtId="0" fontId="247" fillId="0" borderId="0" xfId="1182" applyFont="1" applyAlignment="1" applyProtection="1">
      <alignment horizontal="justify"/>
    </xf>
    <xf numFmtId="0" fontId="32" fillId="0" borderId="0" xfId="1483" applyFont="1" applyBorder="1" applyAlignment="1">
      <alignment horizontal="left"/>
    </xf>
    <xf numFmtId="0" fontId="180" fillId="0" borderId="0" xfId="1483" applyFont="1" applyBorder="1" applyAlignment="1">
      <alignment horizontal="left"/>
    </xf>
    <xf numFmtId="0" fontId="180" fillId="0" borderId="103" xfId="1483" applyFont="1" applyBorder="1" applyAlignment="1">
      <alignment horizontal="center"/>
    </xf>
    <xf numFmtId="0" fontId="180" fillId="0" borderId="106" xfId="1483" applyFont="1" applyBorder="1" applyAlignment="1">
      <alignment horizontal="center"/>
    </xf>
    <xf numFmtId="0" fontId="180" fillId="0" borderId="70" xfId="1483" applyFont="1" applyBorder="1" applyAlignment="1">
      <alignment horizontal="center"/>
    </xf>
    <xf numFmtId="0" fontId="180" fillId="0" borderId="6" xfId="1483" applyFont="1" applyBorder="1" applyAlignment="1">
      <alignment horizontal="center"/>
    </xf>
    <xf numFmtId="0" fontId="180" fillId="0" borderId="6" xfId="1483" applyFont="1" applyFill="1" applyBorder="1" applyAlignment="1">
      <alignment horizontal="center"/>
    </xf>
    <xf numFmtId="0" fontId="180" fillId="0" borderId="0" xfId="1483" applyFont="1" applyBorder="1" applyAlignment="1">
      <alignment horizontal="left" wrapText="1"/>
    </xf>
    <xf numFmtId="0" fontId="180" fillId="0" borderId="0" xfId="1483" applyFont="1" applyBorder="1" applyAlignment="1">
      <alignment horizontal="center" vertical="center" wrapText="1"/>
    </xf>
    <xf numFmtId="49" fontId="180" fillId="0" borderId="6" xfId="1483" applyNumberFormat="1" applyFont="1" applyBorder="1" applyAlignment="1">
      <alignment horizontal="center" vertical="center" wrapText="1"/>
    </xf>
    <xf numFmtId="0" fontId="249" fillId="0" borderId="0" xfId="1483" applyFont="1" applyBorder="1" applyAlignment="1">
      <alignment horizontal="left"/>
    </xf>
    <xf numFmtId="0" fontId="250" fillId="0" borderId="0" xfId="1483" applyFont="1" applyBorder="1" applyAlignment="1">
      <alignment horizontal="left"/>
    </xf>
    <xf numFmtId="0" fontId="32" fillId="0" borderId="0" xfId="1483" applyFont="1" applyBorder="1" applyAlignment="1">
      <alignment horizontal="right"/>
    </xf>
    <xf numFmtId="0" fontId="35" fillId="0" borderId="69" xfId="0" applyFont="1" applyFill="1" applyBorder="1" applyAlignment="1">
      <alignment horizontal="center" vertical="center"/>
    </xf>
    <xf numFmtId="4" fontId="35" fillId="0" borderId="78" xfId="0" applyNumberFormat="1" applyFont="1" applyFill="1" applyBorder="1" applyAlignment="1">
      <alignment horizontal="center" vertical="center"/>
    </xf>
    <xf numFmtId="0" fontId="35" fillId="0" borderId="67" xfId="0" applyFont="1" applyFill="1" applyBorder="1" applyAlignment="1">
      <alignment wrapText="1"/>
    </xf>
    <xf numFmtId="14" fontId="35" fillId="0" borderId="35" xfId="0" applyNumberFormat="1" applyFont="1" applyFill="1" applyBorder="1" applyAlignment="1">
      <alignment horizontal="center" vertical="center"/>
    </xf>
    <xf numFmtId="4" fontId="35" fillId="0" borderId="6" xfId="0" applyNumberFormat="1" applyFont="1" applyFill="1" applyBorder="1" applyAlignment="1">
      <alignment vertical="center"/>
    </xf>
    <xf numFmtId="0" fontId="150" fillId="0" borderId="6" xfId="0" applyFont="1" applyBorder="1" applyAlignment="1">
      <alignment horizontal="center" vertical="center" wrapText="1"/>
    </xf>
    <xf numFmtId="14" fontId="35" fillId="3" borderId="6" xfId="0" applyNumberFormat="1" applyFont="1" applyFill="1" applyBorder="1" applyAlignment="1">
      <alignment horizontal="center" vertical="center" wrapText="1"/>
    </xf>
    <xf numFmtId="14" fontId="35" fillId="0" borderId="6" xfId="0" applyNumberFormat="1" applyFont="1" applyFill="1" applyBorder="1" applyAlignment="1">
      <alignment horizontal="center" vertical="center" wrapText="1"/>
    </xf>
    <xf numFmtId="4" fontId="163" fillId="0" borderId="6" xfId="0" applyNumberFormat="1" applyFont="1" applyFill="1" applyBorder="1" applyAlignment="1">
      <alignment horizontal="center" vertical="center"/>
    </xf>
    <xf numFmtId="4" fontId="35" fillId="33" borderId="6" xfId="0" applyNumberFormat="1" applyFont="1" applyFill="1" applyBorder="1"/>
    <xf numFmtId="0" fontId="35" fillId="33" borderId="6" xfId="0" applyFont="1" applyFill="1" applyBorder="1" applyAlignment="1">
      <alignment horizontal="left" vertical="center" wrapText="1"/>
    </xf>
    <xf numFmtId="14" fontId="163" fillId="0" borderId="6" xfId="0" applyNumberFormat="1" applyFont="1" applyFill="1" applyBorder="1" applyAlignment="1">
      <alignment horizontal="center" vertical="center" wrapText="1"/>
    </xf>
    <xf numFmtId="4" fontId="0" fillId="3" borderId="0" xfId="0" applyNumberFormat="1" applyFill="1"/>
    <xf numFmtId="3" fontId="35" fillId="0" borderId="69" xfId="0" applyNumberFormat="1" applyFont="1" applyFill="1" applyBorder="1" applyAlignment="1">
      <alignment horizontal="center" vertical="center" wrapText="1"/>
    </xf>
    <xf numFmtId="4" fontId="168" fillId="0" borderId="68" xfId="0" applyNumberFormat="1" applyFont="1" applyBorder="1"/>
    <xf numFmtId="4" fontId="169" fillId="0" borderId="68" xfId="0" applyNumberFormat="1" applyFont="1" applyBorder="1"/>
    <xf numFmtId="4" fontId="171" fillId="0" borderId="51" xfId="0" applyNumberFormat="1" applyFont="1" applyBorder="1"/>
    <xf numFmtId="0" fontId="168" fillId="0" borderId="0" xfId="0" applyFont="1" applyBorder="1"/>
    <xf numFmtId="0" fontId="168" fillId="0" borderId="0" xfId="0" applyFont="1" applyBorder="1" applyAlignment="1"/>
    <xf numFmtId="0" fontId="169" fillId="0" borderId="0" xfId="0" applyFont="1" applyBorder="1" applyAlignment="1">
      <alignment horizontal="right"/>
    </xf>
    <xf numFmtId="0" fontId="169" fillId="0" borderId="0" xfId="0" applyFont="1" applyBorder="1" applyAlignment="1">
      <alignment horizontal="center"/>
    </xf>
    <xf numFmtId="0" fontId="168" fillId="0" borderId="0" xfId="0" applyFont="1" applyBorder="1" applyAlignment="1">
      <alignment horizontal="center"/>
    </xf>
    <xf numFmtId="4" fontId="173" fillId="0" borderId="0" xfId="0" applyNumberFormat="1" applyFont="1" applyBorder="1"/>
    <xf numFmtId="0" fontId="168" fillId="0" borderId="46" xfId="0" applyFont="1" applyBorder="1" applyAlignment="1"/>
    <xf numFmtId="0" fontId="168" fillId="0" borderId="44" xfId="0" applyFont="1" applyBorder="1"/>
    <xf numFmtId="0" fontId="168" fillId="0" borderId="33" xfId="0" applyFont="1" applyBorder="1" applyAlignment="1"/>
    <xf numFmtId="0" fontId="168" fillId="0" borderId="33" xfId="0" applyFont="1" applyBorder="1" applyAlignment="1">
      <alignment horizontal="center"/>
    </xf>
    <xf numFmtId="0" fontId="0" fillId="0" borderId="44" xfId="0" applyBorder="1"/>
    <xf numFmtId="0" fontId="6" fillId="0" borderId="41" xfId="1182" applyFont="1" applyBorder="1" applyAlignment="1" applyProtection="1">
      <alignment horizontal="center" vertical="center" wrapText="1"/>
    </xf>
    <xf numFmtId="0" fontId="6" fillId="0" borderId="30" xfId="1182" applyFont="1" applyBorder="1" applyAlignment="1" applyProtection="1">
      <alignment horizontal="center" vertical="center" wrapText="1"/>
    </xf>
    <xf numFmtId="0" fontId="6" fillId="0" borderId="30" xfId="1182" applyFont="1" applyBorder="1" applyAlignment="1" applyProtection="1">
      <alignment horizontal="center" vertical="center"/>
    </xf>
    <xf numFmtId="0" fontId="35" fillId="0" borderId="0" xfId="0" applyFont="1" applyAlignment="1">
      <alignment horizontal="justify" vertical="top" wrapText="1"/>
    </xf>
    <xf numFmtId="14" fontId="32" fillId="0" borderId="6" xfId="0" applyNumberFormat="1" applyFont="1" applyFill="1" applyBorder="1" applyAlignment="1">
      <alignment horizontal="center" vertical="center"/>
    </xf>
    <xf numFmtId="0" fontId="31" fillId="0" borderId="0" xfId="1501" applyFont="1" applyFill="1" applyBorder="1" applyAlignment="1">
      <alignment horizontal="center" wrapText="1"/>
    </xf>
    <xf numFmtId="0" fontId="31" fillId="0" borderId="0" xfId="1501" applyFont="1" applyFill="1" applyBorder="1" applyAlignment="1">
      <alignment horizontal="right" wrapText="1"/>
    </xf>
    <xf numFmtId="0" fontId="183" fillId="0" borderId="0" xfId="1501" applyFont="1" applyFill="1" applyBorder="1" applyAlignment="1">
      <alignment horizontal="right"/>
    </xf>
    <xf numFmtId="0" fontId="31" fillId="0" borderId="0" xfId="1501" applyFont="1" applyFill="1" applyBorder="1" applyAlignment="1">
      <alignment horizontal="left" wrapText="1"/>
    </xf>
    <xf numFmtId="0" fontId="31" fillId="0" borderId="0" xfId="1501" applyFont="1" applyFill="1" applyBorder="1" applyAlignment="1">
      <alignment horizontal="right"/>
    </xf>
    <xf numFmtId="0" fontId="31" fillId="0" borderId="0" xfId="1501" applyFont="1" applyFill="1" applyBorder="1" applyAlignment="1">
      <alignment wrapText="1"/>
    </xf>
    <xf numFmtId="0" fontId="185" fillId="0" borderId="0" xfId="1501" applyFont="1" applyFill="1" applyBorder="1" applyAlignment="1">
      <alignment horizontal="center"/>
    </xf>
    <xf numFmtId="0" fontId="31" fillId="0" borderId="6" xfId="1501" applyFont="1" applyFill="1" applyBorder="1" applyAlignment="1">
      <alignment horizontal="center" vertical="top" wrapText="1"/>
    </xf>
    <xf numFmtId="0" fontId="31" fillId="0" borderId="6" xfId="1501" applyFont="1" applyFill="1" applyBorder="1" applyAlignment="1">
      <alignment horizontal="justify" vertical="top" wrapText="1"/>
    </xf>
    <xf numFmtId="0" fontId="31" fillId="2" borderId="6" xfId="1501" applyFont="1" applyFill="1" applyBorder="1" applyAlignment="1">
      <alignment horizontal="center" vertical="top" wrapText="1"/>
    </xf>
    <xf numFmtId="14" fontId="31" fillId="0" borderId="6" xfId="1501" applyNumberFormat="1" applyFont="1" applyFill="1" applyBorder="1" applyAlignment="1">
      <alignment horizontal="center" vertical="top" wrapText="1"/>
    </xf>
    <xf numFmtId="14" fontId="31" fillId="2" borderId="6" xfId="1501" applyNumberFormat="1" applyFont="1" applyFill="1" applyBorder="1" applyAlignment="1">
      <alignment horizontal="center" vertical="top" wrapText="1"/>
    </xf>
    <xf numFmtId="3" fontId="31" fillId="2" borderId="6" xfId="1501" applyNumberFormat="1" applyFont="1" applyFill="1" applyBorder="1" applyAlignment="1">
      <alignment horizontal="right" vertical="top" wrapText="1"/>
    </xf>
    <xf numFmtId="0" fontId="31" fillId="2" borderId="0" xfId="1501" applyFont="1" applyFill="1" applyBorder="1" applyAlignment="1">
      <alignment horizontal="center" wrapText="1"/>
    </xf>
    <xf numFmtId="0" fontId="31" fillId="2" borderId="0" xfId="1501" applyFont="1" applyFill="1" applyBorder="1" applyAlignment="1">
      <alignment wrapText="1"/>
    </xf>
    <xf numFmtId="3" fontId="31" fillId="2" borderId="6" xfId="1501" applyNumberFormat="1" applyFont="1" applyFill="1" applyBorder="1" applyAlignment="1">
      <alignment horizontal="right" wrapText="1"/>
    </xf>
    <xf numFmtId="0" fontId="31" fillId="2" borderId="6" xfId="1501" applyFont="1" applyFill="1" applyBorder="1" applyAlignment="1">
      <alignment horizontal="center" wrapText="1"/>
    </xf>
    <xf numFmtId="0" fontId="31" fillId="2" borderId="6" xfId="1501" applyFont="1" applyFill="1" applyBorder="1" applyAlignment="1">
      <alignment wrapText="1"/>
    </xf>
    <xf numFmtId="0" fontId="31" fillId="0" borderId="0" xfId="1501" applyFont="1" applyFill="1" applyBorder="1" applyAlignment="1">
      <alignment horizontal="left"/>
    </xf>
    <xf numFmtId="0" fontId="14" fillId="0" borderId="69" xfId="0" applyFont="1" applyBorder="1" applyAlignment="1">
      <alignment horizontal="left" vertical="center" wrapText="1"/>
    </xf>
    <xf numFmtId="166" fontId="14" fillId="52" borderId="6" xfId="0" applyNumberFormat="1" applyFont="1" applyFill="1" applyBorder="1" applyAlignment="1">
      <alignment horizontal="center" vertical="center"/>
    </xf>
    <xf numFmtId="0" fontId="14" fillId="0" borderId="69" xfId="0" applyNumberFormat="1" applyFont="1" applyBorder="1" applyAlignment="1">
      <alignment horizontal="center" vertical="center" wrapText="1"/>
    </xf>
    <xf numFmtId="166" fontId="20" fillId="0" borderId="69" xfId="0" applyNumberFormat="1" applyFont="1" applyBorder="1" applyAlignment="1">
      <alignment horizontal="center" vertical="center" wrapText="1"/>
    </xf>
    <xf numFmtId="164" fontId="20" fillId="0" borderId="69" xfId="0" applyNumberFormat="1" applyFont="1" applyBorder="1" applyAlignment="1">
      <alignment horizontal="center" vertical="center" wrapText="1"/>
    </xf>
    <xf numFmtId="0" fontId="13" fillId="0" borderId="0" xfId="0" applyNumberFormat="1" applyFont="1" applyBorder="1" applyAlignment="1">
      <alignment horizontal="center"/>
    </xf>
    <xf numFmtId="0" fontId="14" fillId="0" borderId="0" xfId="0" applyFont="1" applyBorder="1" applyAlignment="1">
      <alignment horizontal="left" vertical="center" wrapText="1"/>
    </xf>
    <xf numFmtId="166" fontId="13" fillId="0" borderId="0" xfId="0" applyNumberFormat="1" applyFont="1" applyBorder="1" applyAlignment="1">
      <alignment horizontal="center"/>
    </xf>
    <xf numFmtId="164" fontId="13" fillId="0" borderId="0" xfId="0" applyNumberFormat="1" applyFont="1" applyBorder="1" applyAlignment="1">
      <alignment horizontal="center"/>
    </xf>
    <xf numFmtId="0" fontId="13" fillId="0" borderId="21" xfId="0" applyFont="1" applyBorder="1" applyAlignment="1">
      <alignment horizontal="center"/>
    </xf>
    <xf numFmtId="0" fontId="13" fillId="0" borderId="21" xfId="0" applyNumberFormat="1" applyFont="1" applyBorder="1" applyAlignment="1">
      <alignment horizontal="center"/>
    </xf>
    <xf numFmtId="0" fontId="14" fillId="0" borderId="21" xfId="0" applyFont="1" applyBorder="1" applyAlignment="1">
      <alignment horizontal="left" vertical="center" wrapText="1"/>
    </xf>
    <xf numFmtId="0" fontId="212" fillId="0" borderId="6" xfId="1497" applyFont="1" applyFill="1" applyBorder="1"/>
    <xf numFmtId="4" fontId="31" fillId="0" borderId="21" xfId="0" applyNumberFormat="1" applyFont="1" applyFill="1" applyBorder="1" applyAlignment="1">
      <alignment horizontal="center" vertical="center" wrapText="1"/>
    </xf>
    <xf numFmtId="0" fontId="0" fillId="0" borderId="0" xfId="0"/>
    <xf numFmtId="0" fontId="0" fillId="0" borderId="61" xfId="0" applyBorder="1"/>
    <xf numFmtId="0" fontId="0" fillId="0" borderId="0" xfId="0"/>
    <xf numFmtId="2" fontId="0" fillId="0" borderId="0" xfId="0" applyNumberFormat="1" applyBorder="1" applyAlignment="1">
      <alignment horizontal="center"/>
    </xf>
    <xf numFmtId="0" fontId="4" fillId="2" borderId="45"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80"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79" xfId="0" applyFont="1" applyFill="1" applyBorder="1" applyAlignment="1" applyProtection="1">
      <alignment horizontal="center" vertical="center"/>
    </xf>
    <xf numFmtId="0" fontId="8" fillId="0" borderId="69" xfId="0" applyFont="1" applyBorder="1" applyAlignment="1" applyProtection="1">
      <alignment horizontal="left" vertical="center" wrapText="1"/>
    </xf>
    <xf numFmtId="0" fontId="0" fillId="0" borderId="78" xfId="0" applyBorder="1" applyAlignment="1">
      <alignment horizontal="left"/>
    </xf>
    <xf numFmtId="0" fontId="0" fillId="0" borderId="61" xfId="0" applyBorder="1" applyAlignment="1">
      <alignment horizontal="left"/>
    </xf>
    <xf numFmtId="0" fontId="8" fillId="0" borderId="78" xfId="0" applyFont="1" applyBorder="1" applyAlignment="1" applyProtection="1">
      <alignment horizontal="left" vertical="center" wrapText="1"/>
    </xf>
    <xf numFmtId="0" fontId="8" fillId="0" borderId="61" xfId="0" applyFont="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8" fillId="0" borderId="39" xfId="0" applyFont="1" applyBorder="1" applyAlignment="1" applyProtection="1">
      <alignment horizontal="left" vertical="center" wrapText="1"/>
    </xf>
    <xf numFmtId="0" fontId="8" fillId="0" borderId="105" xfId="0" applyFont="1" applyBorder="1" applyAlignment="1" applyProtection="1">
      <alignment horizontal="left" vertical="center" wrapText="1"/>
    </xf>
    <xf numFmtId="0" fontId="8" fillId="0" borderId="54" xfId="0" applyFont="1" applyBorder="1" applyAlignment="1" applyProtection="1">
      <alignment horizontal="left" vertical="center" wrapText="1"/>
    </xf>
    <xf numFmtId="0" fontId="4" fillId="2" borderId="23"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8" fillId="0" borderId="21" xfId="0" applyFont="1" applyBorder="1" applyAlignment="1" applyProtection="1">
      <alignment vertical="center" wrapText="1"/>
    </xf>
    <xf numFmtId="0" fontId="8" fillId="0" borderId="0" xfId="0" applyFont="1" applyBorder="1" applyAlignment="1" applyProtection="1">
      <alignment vertical="center" wrapText="1"/>
    </xf>
    <xf numFmtId="0" fontId="8" fillId="0" borderId="17" xfId="0" applyFont="1" applyBorder="1" applyAlignment="1" applyProtection="1">
      <alignment vertical="center" wrapText="1"/>
    </xf>
    <xf numFmtId="0" fontId="5" fillId="2" borderId="29" xfId="0" applyFont="1" applyFill="1" applyBorder="1" applyAlignment="1" applyProtection="1">
      <alignment horizontal="left" vertical="center" wrapText="1"/>
    </xf>
    <xf numFmtId="0" fontId="8" fillId="0" borderId="51" xfId="0" applyFont="1" applyBorder="1" applyAlignment="1" applyProtection="1">
      <alignment horizontal="left" vertical="center" wrapText="1"/>
    </xf>
    <xf numFmtId="0" fontId="8" fillId="0" borderId="65" xfId="0" applyFont="1" applyBorder="1" applyAlignment="1" applyProtection="1">
      <alignment horizontal="left" vertical="center" wrapText="1"/>
    </xf>
    <xf numFmtId="0" fontId="8" fillId="0" borderId="64" xfId="0" applyFont="1" applyBorder="1" applyAlignment="1" applyProtection="1">
      <alignment horizontal="left" vertical="center" wrapText="1"/>
    </xf>
    <xf numFmtId="0" fontId="2" fillId="39" borderId="0" xfId="0" applyFont="1" applyFill="1" applyBorder="1" applyAlignment="1" applyProtection="1">
      <alignment horizontal="center" vertical="center"/>
    </xf>
    <xf numFmtId="0" fontId="2" fillId="39" borderId="17" xfId="0" applyFont="1" applyFill="1" applyBorder="1" applyAlignment="1" applyProtection="1">
      <alignment horizontal="center" vertical="center"/>
    </xf>
    <xf numFmtId="0" fontId="2" fillId="39" borderId="24" xfId="0" applyFont="1" applyFill="1" applyBorder="1" applyAlignment="1" applyProtection="1">
      <alignment horizontal="center" vertical="center"/>
    </xf>
    <xf numFmtId="0" fontId="3" fillId="0" borderId="33" xfId="0" applyFont="1" applyBorder="1" applyAlignment="1" applyProtection="1">
      <alignment horizontal="center" vertical="center"/>
    </xf>
    <xf numFmtId="0" fontId="3" fillId="0" borderId="96" xfId="0" applyFont="1" applyBorder="1" applyAlignment="1" applyProtection="1">
      <alignment horizontal="center" vertical="center"/>
    </xf>
    <xf numFmtId="0" fontId="5" fillId="2" borderId="24" xfId="0" applyFont="1" applyFill="1" applyBorder="1" applyAlignment="1" applyProtection="1">
      <alignment horizontal="left" vertical="center" wrapText="1"/>
    </xf>
    <xf numFmtId="0" fontId="5" fillId="2" borderId="55" xfId="0" applyFont="1" applyFill="1" applyBorder="1" applyAlignment="1" applyProtection="1">
      <alignment horizontal="center" vertical="center" wrapText="1"/>
    </xf>
    <xf numFmtId="0" fontId="5" fillId="2" borderId="105" xfId="0" applyFont="1" applyFill="1" applyBorder="1" applyAlignment="1" applyProtection="1">
      <alignment horizontal="center" vertical="center" wrapText="1"/>
    </xf>
    <xf numFmtId="0" fontId="5" fillId="2" borderId="54" xfId="0" applyFont="1" applyFill="1" applyBorder="1" applyAlignment="1" applyProtection="1">
      <alignment horizontal="center" vertical="center" wrapText="1"/>
    </xf>
    <xf numFmtId="0" fontId="8" fillId="0" borderId="24" xfId="0" applyFont="1" applyBorder="1" applyAlignment="1" applyProtection="1">
      <alignment horizontal="left" vertical="center" wrapText="1"/>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7" fillId="2" borderId="35" xfId="0" applyFont="1" applyFill="1" applyBorder="1" applyAlignment="1" applyProtection="1">
      <alignment horizontal="left" vertical="center" wrapText="1"/>
    </xf>
    <xf numFmtId="0" fontId="8" fillId="0" borderId="55" xfId="0" applyFont="1" applyBorder="1" applyAlignment="1" applyProtection="1">
      <alignment horizontal="left" vertical="center" wrapText="1"/>
    </xf>
    <xf numFmtId="0" fontId="5" fillId="2" borderId="6"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7" fillId="2" borderId="72" xfId="0" applyFont="1" applyFill="1" applyBorder="1" applyAlignment="1" applyProtection="1">
      <alignment horizontal="left" vertical="center" wrapText="1"/>
    </xf>
    <xf numFmtId="0" fontId="7" fillId="2" borderId="133" xfId="0" applyFont="1" applyFill="1" applyBorder="1" applyAlignment="1" applyProtection="1">
      <alignment horizontal="left" vertical="center" wrapText="1"/>
    </xf>
    <xf numFmtId="0" fontId="7" fillId="2" borderId="71" xfId="0" applyFont="1" applyFill="1" applyBorder="1" applyAlignment="1" applyProtection="1">
      <alignment horizontal="left" vertical="center" wrapText="1"/>
    </xf>
    <xf numFmtId="0" fontId="6" fillId="0" borderId="32" xfId="1182" applyFont="1" applyBorder="1" applyAlignment="1" applyProtection="1">
      <alignment horizontal="center" vertical="center"/>
    </xf>
    <xf numFmtId="0" fontId="6" fillId="0" borderId="41" xfId="1182" applyFont="1" applyBorder="1" applyAlignment="1" applyProtection="1">
      <alignment horizontal="center" vertical="center"/>
    </xf>
    <xf numFmtId="0" fontId="6" fillId="0" borderId="52" xfId="1182" applyFont="1" applyBorder="1" applyAlignment="1" applyProtection="1">
      <alignment horizontal="center" vertical="center"/>
    </xf>
    <xf numFmtId="0" fontId="5" fillId="2" borderId="3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0" borderId="72" xfId="0" applyFont="1" applyBorder="1" applyAlignment="1" applyProtection="1">
      <alignment horizontal="center" vertical="center" wrapText="1"/>
    </xf>
    <xf numFmtId="0" fontId="8" fillId="0" borderId="133" xfId="0" applyFont="1" applyBorder="1" applyAlignment="1" applyProtection="1">
      <alignment horizontal="center" vertical="center" wrapText="1"/>
    </xf>
    <xf numFmtId="0" fontId="8" fillId="0" borderId="71" xfId="0" applyFont="1" applyBorder="1" applyAlignment="1" applyProtection="1">
      <alignment horizontal="center" vertical="center" wrapText="1"/>
    </xf>
    <xf numFmtId="0" fontId="10" fillId="0" borderId="28" xfId="1182" applyFont="1" applyBorder="1" applyAlignment="1" applyProtection="1">
      <alignment horizontal="center" vertical="center"/>
    </xf>
    <xf numFmtId="0" fontId="10" fillId="0" borderId="41" xfId="1182" applyFont="1" applyBorder="1" applyAlignment="1" applyProtection="1">
      <alignment horizontal="center" vertical="center"/>
    </xf>
    <xf numFmtId="0" fontId="10" fillId="0" borderId="52" xfId="1182" applyFont="1" applyBorder="1" applyAlignment="1" applyProtection="1">
      <alignment horizontal="center" vertical="center"/>
    </xf>
    <xf numFmtId="0" fontId="5" fillId="2" borderId="27" xfId="0" applyFont="1" applyFill="1" applyBorder="1" applyAlignment="1" applyProtection="1">
      <alignment horizontal="center" vertical="center" wrapText="1"/>
    </xf>
    <xf numFmtId="0" fontId="6" fillId="0" borderId="49" xfId="1182" applyFont="1" applyBorder="1" applyAlignment="1" applyProtection="1">
      <alignment horizontal="center" vertical="center"/>
    </xf>
    <xf numFmtId="0" fontId="3" fillId="0" borderId="47"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134"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35" xfId="0" applyFont="1" applyBorder="1" applyAlignment="1" applyProtection="1">
      <alignment horizontal="center" vertical="center" wrapText="1"/>
    </xf>
    <xf numFmtId="0" fontId="4" fillId="2" borderId="101"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102" xfId="0" applyFont="1" applyFill="1" applyBorder="1" applyAlignment="1" applyProtection="1">
      <alignment horizontal="center" vertical="center"/>
    </xf>
    <xf numFmtId="0" fontId="15" fillId="0" borderId="0" xfId="1502" applyFont="1" applyAlignment="1">
      <alignment horizontal="center"/>
    </xf>
    <xf numFmtId="0" fontId="16" fillId="0" borderId="0" xfId="1502" applyFont="1" applyBorder="1" applyAlignment="1">
      <alignment horizontal="center"/>
    </xf>
    <xf numFmtId="0" fontId="17" fillId="0" borderId="0" xfId="1502" applyFont="1" applyBorder="1" applyAlignment="1">
      <alignment horizontal="left" vertical="center" wrapText="1"/>
    </xf>
    <xf numFmtId="0" fontId="17" fillId="0" borderId="16" xfId="1502" applyFont="1" applyBorder="1" applyAlignment="1">
      <alignment horizontal="left" vertical="center" wrapText="1"/>
    </xf>
    <xf numFmtId="0" fontId="14" fillId="0" borderId="6" xfId="1502" applyFont="1" applyBorder="1" applyAlignment="1">
      <alignment horizontal="center" vertical="center" wrapText="1"/>
    </xf>
    <xf numFmtId="0" fontId="14" fillId="0" borderId="6" xfId="1502" applyFont="1" applyBorder="1" applyAlignment="1">
      <alignment horizontal="left" vertical="center" wrapText="1"/>
    </xf>
    <xf numFmtId="0" fontId="14" fillId="0" borderId="0" xfId="1502" applyFont="1" applyBorder="1" applyAlignment="1">
      <alignment horizontal="center" vertical="center" wrapText="1"/>
    </xf>
    <xf numFmtId="0" fontId="18" fillId="0" borderId="6" xfId="1502" applyFont="1" applyBorder="1" applyAlignment="1">
      <alignment horizontal="center" vertical="center" wrapText="1"/>
    </xf>
    <xf numFmtId="0" fontId="17" fillId="0" borderId="6" xfId="1502" applyFont="1" applyBorder="1" applyAlignment="1">
      <alignment horizontal="left" vertical="center" wrapText="1"/>
    </xf>
    <xf numFmtId="0" fontId="14" fillId="0" borderId="69" xfId="1502" applyFont="1" applyBorder="1" applyAlignment="1">
      <alignment horizontal="left" vertical="center" wrapText="1"/>
    </xf>
    <xf numFmtId="0" fontId="14" fillId="0" borderId="78" xfId="1502" applyFont="1" applyBorder="1" applyAlignment="1">
      <alignment horizontal="left" vertical="center" wrapText="1"/>
    </xf>
    <xf numFmtId="0" fontId="14" fillId="0" borderId="61" xfId="1502" applyFont="1" applyBorder="1" applyAlignment="1">
      <alignment horizontal="left" vertical="center" wrapText="1"/>
    </xf>
    <xf numFmtId="0" fontId="12" fillId="0" borderId="6" xfId="1502" applyFont="1" applyBorder="1" applyAlignment="1">
      <alignment horizontal="center" vertical="center" wrapText="1"/>
    </xf>
    <xf numFmtId="0" fontId="17" fillId="0" borderId="6" xfId="1502" applyFont="1" applyFill="1" applyBorder="1" applyAlignment="1">
      <alignment horizontal="left" vertical="center" wrapText="1"/>
    </xf>
    <xf numFmtId="0" fontId="14" fillId="0" borderId="6" xfId="1502" applyFont="1" applyFill="1" applyBorder="1" applyAlignment="1">
      <alignment horizontal="left" vertical="center" wrapText="1"/>
    </xf>
    <xf numFmtId="0" fontId="20" fillId="0" borderId="6" xfId="1502" applyFont="1" applyBorder="1" applyAlignment="1">
      <alignment horizontal="left" vertical="center" wrapText="1"/>
    </xf>
    <xf numFmtId="0" fontId="18" fillId="0" borderId="35" xfId="1502" applyFont="1" applyBorder="1" applyAlignment="1">
      <alignment horizontal="center" vertical="center" wrapText="1"/>
    </xf>
    <xf numFmtId="0" fontId="15" fillId="0" borderId="0" xfId="1502" applyFont="1" applyBorder="1" applyAlignment="1">
      <alignment horizontal="left" vertical="center" wrapText="1"/>
    </xf>
    <xf numFmtId="0" fontId="14" fillId="0" borderId="35" xfId="1502" applyFont="1" applyBorder="1" applyAlignment="1">
      <alignment horizontal="center" vertical="center" wrapText="1"/>
    </xf>
    <xf numFmtId="0" fontId="14" fillId="0" borderId="6" xfId="1502" applyFont="1" applyBorder="1" applyAlignment="1">
      <alignment horizontal="left" wrapText="1"/>
    </xf>
    <xf numFmtId="0" fontId="14" fillId="0" borderId="6" xfId="0" applyFont="1" applyBorder="1" applyAlignment="1">
      <alignment horizontal="center" vertical="center" wrapText="1"/>
    </xf>
    <xf numFmtId="0" fontId="0" fillId="0" borderId="6" xfId="0" applyBorder="1" applyAlignment="1">
      <alignment horizontal="center" vertical="center" wrapText="1"/>
    </xf>
    <xf numFmtId="0" fontId="17" fillId="0" borderId="6" xfId="0" applyFont="1" applyBorder="1" applyAlignment="1">
      <alignment horizontal="left" vertical="center" wrapText="1"/>
    </xf>
    <xf numFmtId="0" fontId="14" fillId="0" borderId="6" xfId="0" applyFont="1" applyBorder="1" applyAlignment="1">
      <alignment horizontal="left" vertical="center" wrapText="1"/>
    </xf>
    <xf numFmtId="0" fontId="14" fillId="0" borderId="69" xfId="0" applyFont="1" applyBorder="1" applyAlignment="1">
      <alignment horizontal="left" vertical="center" wrapText="1"/>
    </xf>
    <xf numFmtId="0" fontId="14" fillId="0" borderId="78" xfId="0" applyFont="1" applyBorder="1" applyAlignment="1">
      <alignment horizontal="left" vertical="center" wrapText="1"/>
    </xf>
    <xf numFmtId="0" fontId="14" fillId="0" borderId="61" xfId="0" applyFont="1" applyBorder="1" applyAlignment="1">
      <alignment horizontal="left" vertical="center" wrapText="1"/>
    </xf>
    <xf numFmtId="0" fontId="20" fillId="0" borderId="6" xfId="0" applyFont="1" applyBorder="1" applyAlignment="1">
      <alignment horizontal="left" vertical="center" wrapText="1"/>
    </xf>
    <xf numFmtId="0" fontId="18"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xf numFmtId="0" fontId="17" fillId="0" borderId="0" xfId="0" applyFont="1" applyBorder="1" applyAlignment="1">
      <alignment horizontal="left" vertical="center" wrapText="1"/>
    </xf>
    <xf numFmtId="0" fontId="17"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8" fillId="0" borderId="35" xfId="0" applyFont="1" applyBorder="1" applyAlignment="1">
      <alignment horizontal="center" vertical="center" wrapText="1"/>
    </xf>
    <xf numFmtId="0" fontId="15" fillId="0" borderId="0" xfId="0" applyFont="1" applyBorder="1" applyAlignment="1">
      <alignment horizontal="left" vertical="center" wrapText="1"/>
    </xf>
    <xf numFmtId="0" fontId="14" fillId="0" borderId="35" xfId="0" applyFont="1" applyBorder="1" applyAlignment="1">
      <alignment horizontal="center" vertical="center" wrapText="1"/>
    </xf>
    <xf numFmtId="0" fontId="15" fillId="0" borderId="0" xfId="0" applyFont="1" applyAlignment="1">
      <alignment horizontal="center"/>
    </xf>
    <xf numFmtId="0" fontId="16" fillId="0" borderId="0" xfId="0" applyFont="1" applyBorder="1" applyAlignment="1">
      <alignment horizontal="center"/>
    </xf>
    <xf numFmtId="166" fontId="18" fillId="0" borderId="6" xfId="0" applyNumberFormat="1" applyFont="1" applyBorder="1" applyAlignment="1">
      <alignment horizontal="center" vertical="center" wrapText="1"/>
    </xf>
    <xf numFmtId="166" fontId="14" fillId="0" borderId="6" xfId="0" applyNumberFormat="1" applyFont="1" applyBorder="1" applyAlignment="1">
      <alignment horizontal="left" vertical="center" wrapText="1"/>
    </xf>
    <xf numFmtId="166" fontId="20" fillId="0" borderId="6" xfId="0" applyNumberFormat="1" applyFont="1" applyBorder="1" applyAlignment="1">
      <alignment horizontal="left" vertical="center" wrapText="1"/>
    </xf>
    <xf numFmtId="166" fontId="14" fillId="0" borderId="6" xfId="0" applyNumberFormat="1" applyFont="1" applyBorder="1" applyAlignment="1">
      <alignment horizontal="center" vertical="center" wrapText="1"/>
    </xf>
    <xf numFmtId="166" fontId="17" fillId="0" borderId="6" xfId="0" applyNumberFormat="1" applyFont="1" applyFill="1" applyBorder="1" applyAlignment="1">
      <alignment horizontal="left" vertical="center" wrapText="1"/>
    </xf>
    <xf numFmtId="0" fontId="14" fillId="0" borderId="6" xfId="0" applyFont="1" applyBorder="1" applyAlignment="1">
      <alignment horizontal="left" wrapText="1"/>
    </xf>
    <xf numFmtId="166" fontId="17" fillId="0" borderId="0" xfId="0" applyNumberFormat="1" applyFont="1" applyBorder="1" applyAlignment="1">
      <alignment horizontal="left" vertical="center" wrapText="1"/>
    </xf>
    <xf numFmtId="166" fontId="0" fillId="0" borderId="6" xfId="0" applyNumberFormat="1" applyBorder="1" applyAlignment="1">
      <alignment horizontal="center" vertical="center" wrapText="1"/>
    </xf>
    <xf numFmtId="166" fontId="14" fillId="0" borderId="6" xfId="0" applyNumberFormat="1" applyFont="1" applyFill="1" applyBorder="1" applyAlignment="1">
      <alignment horizontal="left" vertical="center" wrapText="1"/>
    </xf>
    <xf numFmtId="164" fontId="20" fillId="0" borderId="6" xfId="0" applyNumberFormat="1" applyFont="1" applyBorder="1" applyAlignment="1">
      <alignment horizontal="left" vertical="center" wrapText="1"/>
    </xf>
    <xf numFmtId="164" fontId="14" fillId="0" borderId="6" xfId="0" applyNumberFormat="1" applyFont="1" applyBorder="1" applyAlignment="1">
      <alignment horizontal="left" vertical="center" wrapText="1"/>
    </xf>
    <xf numFmtId="164" fontId="17" fillId="0" borderId="6" xfId="0" applyNumberFormat="1" applyFont="1" applyBorder="1" applyAlignment="1">
      <alignment horizontal="left" vertical="center" wrapText="1"/>
    </xf>
    <xf numFmtId="164" fontId="14" fillId="0" borderId="6" xfId="0" applyNumberFormat="1" applyFont="1" applyBorder="1" applyAlignment="1">
      <alignment horizontal="left" wrapText="1"/>
    </xf>
    <xf numFmtId="0" fontId="13" fillId="0" borderId="0" xfId="0" applyFont="1" applyAlignment="1">
      <alignment horizontal="center" vertical="top"/>
    </xf>
    <xf numFmtId="0" fontId="14" fillId="0" borderId="6" xfId="0" applyNumberFormat="1" applyFont="1" applyBorder="1" applyAlignment="1">
      <alignment horizontal="center" vertical="center" wrapText="1"/>
    </xf>
    <xf numFmtId="0" fontId="18"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164" fontId="14" fillId="0" borderId="6"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8" xfId="0" applyFont="1" applyFill="1" applyBorder="1" applyAlignment="1">
      <alignment horizontal="left" vertical="center" wrapText="1"/>
    </xf>
    <xf numFmtId="166" fontId="14" fillId="0" borderId="69" xfId="0" applyNumberFormat="1" applyFont="1" applyBorder="1" applyAlignment="1">
      <alignment horizontal="center" vertical="center" wrapText="1"/>
    </xf>
    <xf numFmtId="0" fontId="29" fillId="34" borderId="69" xfId="0" applyFont="1" applyFill="1" applyBorder="1" applyAlignment="1">
      <alignment horizontal="center"/>
    </xf>
    <xf numFmtId="0" fontId="29" fillId="34" borderId="78" xfId="0" applyFont="1" applyFill="1" applyBorder="1" applyAlignment="1">
      <alignment horizontal="center"/>
    </xf>
    <xf numFmtId="0" fontId="29" fillId="34" borderId="61" xfId="0" applyFont="1" applyFill="1" applyBorder="1" applyAlignment="1">
      <alignment horizontal="center"/>
    </xf>
    <xf numFmtId="0" fontId="28" fillId="0" borderId="16" xfId="1182" applyFont="1" applyBorder="1" applyAlignment="1" applyProtection="1">
      <alignment horizontal="center" vertical="center"/>
    </xf>
    <xf numFmtId="0" fontId="28" fillId="0" borderId="0" xfId="1182" applyFont="1" applyBorder="1" applyAlignment="1" applyProtection="1">
      <alignment horizontal="center" vertical="center"/>
    </xf>
    <xf numFmtId="166" fontId="26" fillId="0" borderId="69" xfId="0" applyNumberFormat="1" applyFont="1" applyBorder="1" applyAlignment="1">
      <alignment horizontal="right"/>
    </xf>
    <xf numFmtId="166" fontId="26" fillId="0" borderId="61" xfId="0" applyNumberFormat="1" applyFont="1" applyBorder="1" applyAlignment="1">
      <alignment horizontal="right"/>
    </xf>
    <xf numFmtId="4" fontId="26" fillId="0" borderId="69" xfId="0" applyNumberFormat="1" applyFont="1" applyBorder="1" applyAlignment="1">
      <alignment horizontal="right"/>
    </xf>
    <xf numFmtId="4" fontId="26" fillId="0" borderId="61" xfId="0" applyNumberFormat="1" applyFont="1" applyBorder="1" applyAlignment="1">
      <alignment horizontal="right"/>
    </xf>
    <xf numFmtId="4" fontId="26" fillId="0" borderId="78" xfId="0" applyNumberFormat="1" applyFont="1" applyBorder="1" applyAlignment="1">
      <alignment horizontal="right"/>
    </xf>
    <xf numFmtId="4" fontId="26" fillId="0" borderId="6" xfId="0" applyNumberFormat="1" applyFont="1" applyBorder="1" applyAlignment="1">
      <alignment horizontal="right"/>
    </xf>
    <xf numFmtId="166" fontId="26" fillId="0" borderId="6" xfId="0" applyNumberFormat="1" applyFont="1" applyBorder="1" applyAlignment="1">
      <alignment horizontal="right"/>
    </xf>
    <xf numFmtId="4" fontId="26" fillId="0" borderId="0" xfId="0" applyNumberFormat="1" applyFont="1" applyBorder="1" applyAlignment="1">
      <alignment horizontal="justify" wrapText="1"/>
    </xf>
    <xf numFmtId="0" fontId="30" fillId="53" borderId="69" xfId="0" applyFont="1" applyFill="1" applyBorder="1" applyAlignment="1">
      <alignment horizontal="center" vertical="center" wrapText="1"/>
    </xf>
    <xf numFmtId="0" fontId="30" fillId="53" borderId="61" xfId="0" applyFont="1" applyFill="1" applyBorder="1" applyAlignment="1">
      <alignment horizontal="center" vertical="center" wrapText="1"/>
    </xf>
    <xf numFmtId="166" fontId="29" fillId="0" borderId="69" xfId="0" applyNumberFormat="1" applyFont="1" applyBorder="1" applyAlignment="1">
      <alignment horizontal="right"/>
    </xf>
    <xf numFmtId="166" fontId="29" fillId="0" borderId="61" xfId="0" applyNumberFormat="1" applyFont="1" applyBorder="1" applyAlignment="1">
      <alignment horizontal="right"/>
    </xf>
    <xf numFmtId="4" fontId="29" fillId="0" borderId="69" xfId="0" applyNumberFormat="1" applyFont="1" applyBorder="1" applyAlignment="1">
      <alignment horizontal="right"/>
    </xf>
    <xf numFmtId="4" fontId="29" fillId="0" borderId="78" xfId="0" applyNumberFormat="1" applyFont="1" applyBorder="1" applyAlignment="1">
      <alignment horizontal="right"/>
    </xf>
    <xf numFmtId="4" fontId="29" fillId="0" borderId="61" xfId="0" applyNumberFormat="1" applyFont="1" applyBorder="1" applyAlignment="1">
      <alignment horizontal="right"/>
    </xf>
    <xf numFmtId="0" fontId="30" fillId="53" borderId="78" xfId="0" applyFont="1" applyFill="1" applyBorder="1" applyAlignment="1">
      <alignment horizontal="center" vertical="center" wrapText="1"/>
    </xf>
    <xf numFmtId="166" fontId="26" fillId="0" borderId="69" xfId="0" applyNumberFormat="1" applyFont="1" applyBorder="1" applyAlignment="1"/>
    <xf numFmtId="166" fontId="26" fillId="0" borderId="61" xfId="0" applyNumberFormat="1" applyFont="1" applyBorder="1" applyAlignment="1"/>
    <xf numFmtId="0" fontId="2" fillId="0" borderId="12" xfId="0" applyFont="1" applyBorder="1" applyAlignment="1">
      <alignment horizontal="center"/>
    </xf>
    <xf numFmtId="0" fontId="2" fillId="0" borderId="0" xfId="0" applyFont="1" applyAlignment="1">
      <alignment horizontal="center"/>
    </xf>
    <xf numFmtId="0" fontId="1" fillId="0" borderId="0" xfId="0" applyFont="1" applyAlignment="1">
      <alignment horizontal="left" wrapText="1"/>
    </xf>
    <xf numFmtId="0" fontId="38" fillId="0" borderId="0" xfId="1507" applyFont="1" applyBorder="1" applyAlignment="1">
      <alignment horizontal="center" vertical="center" wrapText="1"/>
    </xf>
    <xf numFmtId="4" fontId="31" fillId="52" borderId="69" xfId="0" applyNumberFormat="1" applyFont="1" applyFill="1" applyBorder="1" applyAlignment="1">
      <alignment horizontal="center" vertical="center" wrapText="1"/>
    </xf>
    <xf numFmtId="4" fontId="31" fillId="52" borderId="78" xfId="0" applyNumberFormat="1" applyFont="1" applyFill="1" applyBorder="1" applyAlignment="1">
      <alignment horizontal="center" vertical="center" wrapText="1"/>
    </xf>
    <xf numFmtId="4" fontId="31" fillId="52" borderId="61" xfId="0" applyNumberFormat="1" applyFont="1" applyFill="1" applyBorder="1" applyAlignment="1">
      <alignment horizontal="center" vertical="center" wrapText="1"/>
    </xf>
    <xf numFmtId="4" fontId="31" fillId="0" borderId="69" xfId="0" applyNumberFormat="1" applyFont="1" applyFill="1" applyBorder="1" applyAlignment="1">
      <alignment horizontal="right" vertical="center" wrapText="1"/>
    </xf>
    <xf numFmtId="4" fontId="31" fillId="0" borderId="78" xfId="0" applyNumberFormat="1" applyFont="1" applyFill="1" applyBorder="1" applyAlignment="1">
      <alignment horizontal="right" vertical="center" wrapText="1"/>
    </xf>
    <xf numFmtId="4" fontId="31" fillId="0" borderId="61" xfId="0" applyNumberFormat="1" applyFont="1" applyFill="1" applyBorder="1" applyAlignment="1">
      <alignment horizontal="right" vertical="center" wrapText="1"/>
    </xf>
    <xf numFmtId="0" fontId="180" fillId="0" borderId="6" xfId="1483" applyFont="1" applyFill="1" applyBorder="1" applyAlignment="1">
      <alignment horizontal="center" wrapText="1"/>
    </xf>
    <xf numFmtId="0" fontId="180" fillId="0" borderId="6" xfId="1483" applyFont="1" applyBorder="1" applyAlignment="1">
      <alignment horizontal="center" wrapText="1"/>
    </xf>
    <xf numFmtId="0" fontId="180" fillId="0" borderId="69" xfId="1483" applyFont="1" applyBorder="1" applyAlignment="1">
      <alignment horizontal="center"/>
    </xf>
    <xf numFmtId="0" fontId="180" fillId="0" borderId="78" xfId="1483" applyFont="1" applyBorder="1" applyAlignment="1">
      <alignment horizontal="center"/>
    </xf>
    <xf numFmtId="0" fontId="180" fillId="0" borderId="61" xfId="1483" applyFont="1" applyBorder="1" applyAlignment="1">
      <alignment horizontal="center"/>
    </xf>
    <xf numFmtId="49" fontId="180" fillId="0" borderId="6" xfId="0" applyNumberFormat="1" applyFont="1" applyBorder="1" applyAlignment="1">
      <alignment horizontal="center" wrapText="1"/>
    </xf>
    <xf numFmtId="0" fontId="180" fillId="0" borderId="69" xfId="0" applyFont="1" applyBorder="1" applyAlignment="1">
      <alignment horizontal="center" wrapText="1"/>
    </xf>
    <xf numFmtId="0" fontId="180" fillId="0" borderId="78" xfId="0" applyFont="1" applyBorder="1" applyAlignment="1">
      <alignment horizontal="center" wrapText="1"/>
    </xf>
    <xf numFmtId="0" fontId="180" fillId="0" borderId="61" xfId="0" applyFont="1" applyBorder="1" applyAlignment="1">
      <alignment horizontal="center" wrapText="1"/>
    </xf>
    <xf numFmtId="0" fontId="180" fillId="0" borderId="6" xfId="0" applyFont="1" applyBorder="1" applyAlignment="1">
      <alignment horizontal="center" wrapText="1"/>
    </xf>
    <xf numFmtId="0" fontId="180" fillId="0" borderId="69" xfId="1483" applyFont="1" applyBorder="1" applyAlignment="1">
      <alignment horizontal="center" wrapText="1"/>
    </xf>
    <xf numFmtId="0" fontId="180" fillId="0" borderId="78" xfId="1483" applyFont="1" applyBorder="1" applyAlignment="1">
      <alignment horizontal="center" wrapText="1"/>
    </xf>
    <xf numFmtId="0" fontId="180" fillId="0" borderId="61" xfId="1483" applyFont="1" applyBorder="1" applyAlignment="1">
      <alignment horizontal="center" wrapText="1"/>
    </xf>
    <xf numFmtId="0" fontId="251" fillId="52" borderId="69" xfId="1483" applyFont="1" applyFill="1" applyBorder="1" applyAlignment="1">
      <alignment horizontal="left"/>
    </xf>
    <xf numFmtId="0" fontId="251" fillId="52" borderId="78" xfId="1483" applyFont="1" applyFill="1" applyBorder="1" applyAlignment="1">
      <alignment horizontal="left"/>
    </xf>
    <xf numFmtId="0" fontId="251" fillId="52" borderId="61" xfId="1483" applyFont="1" applyFill="1" applyBorder="1" applyAlignment="1">
      <alignment horizontal="left"/>
    </xf>
    <xf numFmtId="0" fontId="180" fillId="0" borderId="6" xfId="0" applyFont="1" applyBorder="1" applyAlignment="1">
      <alignment horizontal="left" wrapText="1"/>
    </xf>
    <xf numFmtId="0" fontId="32" fillId="0" borderId="0" xfId="1483" applyFont="1" applyBorder="1" applyAlignment="1">
      <alignment horizontal="left" wrapText="1"/>
    </xf>
    <xf numFmtId="0" fontId="32" fillId="0" borderId="0" xfId="1483" applyFont="1" applyBorder="1" applyAlignment="1">
      <alignment horizontal="left"/>
    </xf>
    <xf numFmtId="49" fontId="180" fillId="0" borderId="69" xfId="0" applyNumberFormat="1" applyFont="1" applyBorder="1" applyAlignment="1">
      <alignment horizontal="center" wrapText="1"/>
    </xf>
    <xf numFmtId="49" fontId="180" fillId="0" borderId="78" xfId="0" applyNumberFormat="1" applyFont="1" applyBorder="1" applyAlignment="1">
      <alignment horizontal="center" wrapText="1"/>
    </xf>
    <xf numFmtId="49" fontId="180" fillId="0" borderId="61" xfId="0" applyNumberFormat="1" applyFont="1" applyBorder="1" applyAlignment="1">
      <alignment horizontal="center" wrapText="1"/>
    </xf>
    <xf numFmtId="49" fontId="180" fillId="0" borderId="103" xfId="1483" applyNumberFormat="1" applyFont="1" applyBorder="1" applyAlignment="1">
      <alignment horizontal="center" vertical="center" wrapText="1"/>
    </xf>
    <xf numFmtId="49" fontId="180" fillId="0" borderId="70" xfId="1483" applyNumberFormat="1" applyFont="1" applyBorder="1" applyAlignment="1">
      <alignment horizontal="center" vertical="center" wrapText="1"/>
    </xf>
    <xf numFmtId="49" fontId="180" fillId="0" borderId="68" xfId="1483" applyNumberFormat="1" applyFont="1" applyBorder="1" applyAlignment="1">
      <alignment horizontal="center" vertical="center" wrapText="1"/>
    </xf>
    <xf numFmtId="49" fontId="180" fillId="0" borderId="67" xfId="1483" applyNumberFormat="1" applyFont="1" applyBorder="1" applyAlignment="1">
      <alignment horizontal="center" vertical="center" wrapText="1"/>
    </xf>
    <xf numFmtId="0" fontId="180" fillId="0" borderId="6" xfId="1483" applyFont="1" applyBorder="1" applyAlignment="1">
      <alignment horizontal="center" vertical="center" wrapText="1"/>
    </xf>
    <xf numFmtId="0" fontId="180" fillId="0" borderId="103" xfId="1483" applyFont="1" applyBorder="1" applyAlignment="1">
      <alignment horizontal="center" vertical="center"/>
    </xf>
    <xf numFmtId="0" fontId="180" fillId="0" borderId="106" xfId="1483" applyFont="1" applyBorder="1" applyAlignment="1">
      <alignment horizontal="center" vertical="center"/>
    </xf>
    <xf numFmtId="0" fontId="180" fillId="0" borderId="70" xfId="1483" applyFont="1" applyBorder="1" applyAlignment="1">
      <alignment horizontal="center" vertical="center"/>
    </xf>
    <xf numFmtId="0" fontId="180" fillId="0" borderId="68" xfId="1483" applyFont="1" applyBorder="1" applyAlignment="1">
      <alignment horizontal="center" vertical="center"/>
    </xf>
    <xf numFmtId="0" fontId="180" fillId="0" borderId="16" xfId="1483" applyFont="1" applyBorder="1" applyAlignment="1">
      <alignment horizontal="center" vertical="center"/>
    </xf>
    <xf numFmtId="0" fontId="180" fillId="0" borderId="67" xfId="1483" applyFont="1" applyBorder="1" applyAlignment="1">
      <alignment horizontal="center" vertical="center"/>
    </xf>
    <xf numFmtId="49" fontId="180" fillId="0" borderId="106" xfId="1483" applyNumberFormat="1" applyFont="1" applyBorder="1" applyAlignment="1">
      <alignment horizontal="center" vertical="center" wrapText="1"/>
    </xf>
    <xf numFmtId="49" fontId="180" fillId="0" borderId="21" xfId="1483" applyNumberFormat="1" applyFont="1" applyBorder="1" applyAlignment="1">
      <alignment horizontal="center" vertical="center" wrapText="1"/>
    </xf>
    <xf numFmtId="49" fontId="180" fillId="0" borderId="0" xfId="1483" applyNumberFormat="1" applyFont="1" applyBorder="1" applyAlignment="1">
      <alignment horizontal="center" vertical="center" wrapText="1"/>
    </xf>
    <xf numFmtId="49" fontId="180" fillId="0" borderId="17" xfId="1483" applyNumberFormat="1" applyFont="1" applyBorder="1" applyAlignment="1">
      <alignment horizontal="center" vertical="center" wrapText="1"/>
    </xf>
    <xf numFmtId="49" fontId="180" fillId="0" borderId="16" xfId="1483" applyNumberFormat="1" applyFont="1" applyBorder="1" applyAlignment="1">
      <alignment horizontal="center" vertical="center" wrapText="1"/>
    </xf>
    <xf numFmtId="0" fontId="180" fillId="0" borderId="103" xfId="1483" applyFont="1" applyBorder="1" applyAlignment="1">
      <alignment horizontal="center" vertical="center" wrapText="1"/>
    </xf>
    <xf numFmtId="0" fontId="180" fillId="0" borderId="106" xfId="1483" applyFont="1" applyBorder="1" applyAlignment="1">
      <alignment horizontal="center" vertical="center" wrapText="1"/>
    </xf>
    <xf numFmtId="0" fontId="180" fillId="0" borderId="70" xfId="1483" applyFont="1" applyBorder="1" applyAlignment="1">
      <alignment horizontal="center" vertical="center" wrapText="1"/>
    </xf>
    <xf numFmtId="0" fontId="180" fillId="0" borderId="21" xfId="1483" applyFont="1" applyBorder="1" applyAlignment="1">
      <alignment horizontal="center" vertical="center" wrapText="1"/>
    </xf>
    <xf numFmtId="0" fontId="180" fillId="0" borderId="0" xfId="1483" applyFont="1" applyBorder="1" applyAlignment="1">
      <alignment horizontal="center" vertical="center" wrapText="1"/>
    </xf>
    <xf numFmtId="0" fontId="180" fillId="0" borderId="17" xfId="1483" applyFont="1" applyBorder="1" applyAlignment="1">
      <alignment horizontal="center" vertical="center" wrapText="1"/>
    </xf>
    <xf numFmtId="0" fontId="180" fillId="0" borderId="68" xfId="1483" applyFont="1" applyBorder="1" applyAlignment="1">
      <alignment horizontal="center" vertical="center" wrapText="1"/>
    </xf>
    <xf numFmtId="0" fontId="180" fillId="0" borderId="16" xfId="1483" applyFont="1" applyBorder="1" applyAlignment="1">
      <alignment horizontal="center" vertical="center" wrapText="1"/>
    </xf>
    <xf numFmtId="0" fontId="180" fillId="0" borderId="67" xfId="1483" applyFont="1" applyBorder="1" applyAlignment="1">
      <alignment horizontal="center" vertical="center" wrapText="1"/>
    </xf>
    <xf numFmtId="49" fontId="180" fillId="0" borderId="6" xfId="1483" applyNumberFormat="1" applyFont="1" applyBorder="1" applyAlignment="1">
      <alignment horizontal="center" wrapText="1"/>
    </xf>
    <xf numFmtId="0" fontId="180" fillId="0" borderId="6" xfId="1483" applyFont="1" applyBorder="1" applyAlignment="1">
      <alignment horizontal="center"/>
    </xf>
    <xf numFmtId="0" fontId="180" fillId="0" borderId="21" xfId="1483" applyFont="1" applyBorder="1" applyAlignment="1">
      <alignment horizontal="center"/>
    </xf>
    <xf numFmtId="0" fontId="180" fillId="0" borderId="0" xfId="1483" applyFont="1" applyBorder="1" applyAlignment="1">
      <alignment horizontal="center"/>
    </xf>
    <xf numFmtId="0" fontId="180" fillId="0" borderId="17" xfId="1483" applyFont="1" applyBorder="1" applyAlignment="1">
      <alignment horizontal="center"/>
    </xf>
    <xf numFmtId="0" fontId="180" fillId="0" borderId="69" xfId="1483" applyFont="1" applyBorder="1" applyAlignment="1">
      <alignment horizontal="center" vertical="center" wrapText="1"/>
    </xf>
    <xf numFmtId="0" fontId="180" fillId="0" borderId="78" xfId="1483" applyFont="1" applyBorder="1" applyAlignment="1">
      <alignment horizontal="center" vertical="center" wrapText="1"/>
    </xf>
    <xf numFmtId="0" fontId="180" fillId="0" borderId="61" xfId="1483" applyFont="1" applyBorder="1" applyAlignment="1">
      <alignment horizontal="center" vertical="center" wrapText="1"/>
    </xf>
    <xf numFmtId="0" fontId="180" fillId="0" borderId="69" xfId="1483" applyFont="1" applyBorder="1" applyAlignment="1">
      <alignment horizontal="center" vertical="center" textRotation="90"/>
    </xf>
    <xf numFmtId="0" fontId="180" fillId="0" borderId="78" xfId="1483" applyFont="1" applyBorder="1" applyAlignment="1">
      <alignment horizontal="center" vertical="center" textRotation="90"/>
    </xf>
    <xf numFmtId="0" fontId="180" fillId="0" borderId="61" xfId="1483" applyFont="1" applyBorder="1" applyAlignment="1">
      <alignment horizontal="center" vertical="center" textRotation="90"/>
    </xf>
    <xf numFmtId="0" fontId="180" fillId="0" borderId="68" xfId="1483" applyFont="1" applyBorder="1" applyAlignment="1">
      <alignment horizontal="center"/>
    </xf>
    <xf numFmtId="0" fontId="180" fillId="0" borderId="16" xfId="1483" applyFont="1" applyBorder="1" applyAlignment="1">
      <alignment horizontal="center"/>
    </xf>
    <xf numFmtId="0" fontId="180" fillId="0" borderId="67" xfId="1483" applyFont="1" applyBorder="1" applyAlignment="1">
      <alignment horizontal="center"/>
    </xf>
    <xf numFmtId="0" fontId="180" fillId="0" borderId="103" xfId="1483" applyFont="1" applyBorder="1" applyAlignment="1">
      <alignment horizontal="center" textRotation="90" wrapText="1"/>
    </xf>
    <xf numFmtId="0" fontId="180" fillId="0" borderId="106" xfId="1483" applyFont="1" applyBorder="1" applyAlignment="1">
      <alignment horizontal="center" textRotation="90" wrapText="1"/>
    </xf>
    <xf numFmtId="0" fontId="180" fillId="0" borderId="70" xfId="1483" applyFont="1" applyBorder="1" applyAlignment="1">
      <alignment horizontal="center" textRotation="90" wrapText="1"/>
    </xf>
    <xf numFmtId="0" fontId="180" fillId="0" borderId="21" xfId="1483" applyFont="1" applyBorder="1" applyAlignment="1">
      <alignment horizontal="center" textRotation="90" wrapText="1"/>
    </xf>
    <xf numFmtId="0" fontId="180" fillId="0" borderId="0" xfId="1483" applyFont="1" applyBorder="1" applyAlignment="1">
      <alignment horizontal="center" textRotation="90" wrapText="1"/>
    </xf>
    <xf numFmtId="0" fontId="180" fillId="0" borderId="17" xfId="1483" applyFont="1" applyBorder="1" applyAlignment="1">
      <alignment horizontal="center" textRotation="90" wrapText="1"/>
    </xf>
    <xf numFmtId="0" fontId="180" fillId="0" borderId="103" xfId="1483" applyFont="1" applyBorder="1" applyAlignment="1">
      <alignment horizontal="center" vertical="center" textRotation="90"/>
    </xf>
    <xf numFmtId="0" fontId="180" fillId="0" borderId="106" xfId="1483" applyFont="1" applyBorder="1" applyAlignment="1">
      <alignment horizontal="center" vertical="center" textRotation="90"/>
    </xf>
    <xf numFmtId="0" fontId="180" fillId="0" borderId="70" xfId="1483" applyFont="1" applyBorder="1" applyAlignment="1">
      <alignment horizontal="center" vertical="center" textRotation="90"/>
    </xf>
    <xf numFmtId="0" fontId="180" fillId="0" borderId="68" xfId="1483" applyFont="1" applyBorder="1" applyAlignment="1">
      <alignment horizontal="center" vertical="center" textRotation="90"/>
    </xf>
    <xf numFmtId="0" fontId="180" fillId="0" borderId="16" xfId="1483" applyFont="1" applyBorder="1" applyAlignment="1">
      <alignment horizontal="center" vertical="center" textRotation="90"/>
    </xf>
    <xf numFmtId="0" fontId="180" fillId="0" borderId="67" xfId="1483" applyFont="1" applyBorder="1" applyAlignment="1">
      <alignment horizontal="center" vertical="center" textRotation="90"/>
    </xf>
    <xf numFmtId="0" fontId="151" fillId="0" borderId="0" xfId="0" applyFont="1" applyAlignment="1">
      <alignment horizontal="center" wrapText="1"/>
    </xf>
    <xf numFmtId="0" fontId="35" fillId="0" borderId="32" xfId="0" applyFont="1" applyBorder="1" applyAlignment="1">
      <alignment horizontal="left" vertical="center"/>
    </xf>
    <xf numFmtId="0" fontId="35" fillId="0" borderId="49" xfId="0" applyFont="1" applyBorder="1" applyAlignment="1">
      <alignment horizontal="left" vertical="center"/>
    </xf>
    <xf numFmtId="0" fontId="35" fillId="0" borderId="32" xfId="0" applyFont="1" applyBorder="1" applyAlignment="1">
      <alignment vertical="center"/>
    </xf>
    <xf numFmtId="0" fontId="35" fillId="0" borderId="49" xfId="0" applyFont="1" applyBorder="1" applyAlignment="1">
      <alignment vertical="center"/>
    </xf>
    <xf numFmtId="0" fontId="35" fillId="0" borderId="0" xfId="0" applyFont="1" applyAlignment="1">
      <alignment horizontal="left" wrapText="1"/>
    </xf>
    <xf numFmtId="0" fontId="157" fillId="0" borderId="140" xfId="1507" applyFont="1" applyBorder="1" applyAlignment="1">
      <alignment horizontal="center" vertical="center"/>
    </xf>
    <xf numFmtId="0" fontId="157" fillId="0" borderId="141" xfId="1507" applyFont="1" applyBorder="1" applyAlignment="1">
      <alignment horizontal="center" vertical="center"/>
    </xf>
    <xf numFmtId="0" fontId="38" fillId="0" borderId="136" xfId="1507" applyFont="1" applyBorder="1" applyAlignment="1">
      <alignment horizontal="center" vertical="center"/>
    </xf>
    <xf numFmtId="0" fontId="38" fillId="0" borderId="137" xfId="1507" applyFont="1" applyBorder="1" applyAlignment="1">
      <alignment horizontal="center" vertical="center"/>
    </xf>
    <xf numFmtId="0" fontId="38" fillId="0" borderId="45" xfId="1507" applyFont="1" applyBorder="1" applyAlignment="1">
      <alignment horizontal="center" vertical="center"/>
    </xf>
    <xf numFmtId="0" fontId="38" fillId="0" borderId="50" xfId="1507" applyFont="1" applyBorder="1" applyAlignment="1">
      <alignment horizontal="center" vertical="center"/>
    </xf>
    <xf numFmtId="0" fontId="38" fillId="0" borderId="133" xfId="1507" applyFont="1" applyBorder="1" applyAlignment="1">
      <alignment horizontal="center" vertical="center"/>
    </xf>
    <xf numFmtId="0" fontId="38" fillId="0" borderId="136" xfId="1507" applyFont="1" applyBorder="1" applyAlignment="1">
      <alignment horizontal="center" vertical="center" wrapText="1"/>
    </xf>
    <xf numFmtId="0" fontId="38" fillId="0" borderId="137" xfId="1507" applyFont="1" applyBorder="1" applyAlignment="1">
      <alignment horizontal="center" vertical="center" wrapText="1"/>
    </xf>
    <xf numFmtId="0" fontId="136" fillId="0" borderId="0" xfId="1507" applyFont="1" applyBorder="1" applyAlignment="1">
      <alignment horizontal="center" vertical="center" wrapText="1"/>
    </xf>
    <xf numFmtId="0" fontId="38" fillId="0" borderId="29" xfId="1507" applyFont="1" applyBorder="1" applyAlignment="1">
      <alignment horizontal="center" vertical="center"/>
    </xf>
    <xf numFmtId="0" fontId="38" fillId="0" borderId="36" xfId="1507" applyFont="1" applyBorder="1" applyAlignment="1">
      <alignment horizontal="center" vertical="center"/>
    </xf>
    <xf numFmtId="0" fontId="38" fillId="0" borderId="92" xfId="1507" applyFont="1" applyBorder="1" applyAlignment="1">
      <alignment horizontal="center" vertical="center"/>
    </xf>
    <xf numFmtId="0" fontId="157" fillId="0" borderId="138" xfId="1507" applyFont="1" applyBorder="1" applyAlignment="1">
      <alignment horizontal="center" vertical="center"/>
    </xf>
    <xf numFmtId="0" fontId="157" fillId="0" borderId="139" xfId="1507" applyFont="1" applyBorder="1" applyAlignment="1">
      <alignment horizontal="center" vertical="center"/>
    </xf>
    <xf numFmtId="0" fontId="165" fillId="0" borderId="0" xfId="0" applyFont="1" applyAlignment="1">
      <alignment horizontal="center"/>
    </xf>
    <xf numFmtId="0" fontId="5" fillId="0" borderId="9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91" xfId="0" applyFont="1" applyBorder="1" applyAlignment="1">
      <alignment horizontal="center" vertical="center"/>
    </xf>
    <xf numFmtId="0" fontId="5" fillId="0" borderId="133" xfId="0" applyFont="1" applyBorder="1" applyAlignment="1">
      <alignment horizontal="center" vertical="center"/>
    </xf>
    <xf numFmtId="0" fontId="5" fillId="0" borderId="92" xfId="0" applyFont="1" applyBorder="1" applyAlignment="1">
      <alignment horizontal="center" vertical="center"/>
    </xf>
    <xf numFmtId="0" fontId="159" fillId="0" borderId="0" xfId="0" applyFont="1" applyAlignment="1">
      <alignment horizontal="center" vertical="center"/>
    </xf>
    <xf numFmtId="0" fontId="150" fillId="0" borderId="34" xfId="0" applyFont="1" applyBorder="1" applyAlignment="1">
      <alignment horizontal="center" vertical="center"/>
    </xf>
    <xf numFmtId="0" fontId="150" fillId="0" borderId="35" xfId="0" applyFont="1" applyBorder="1" applyAlignment="1">
      <alignment horizontal="center" vertical="center"/>
    </xf>
    <xf numFmtId="0" fontId="150" fillId="0" borderId="103" xfId="0" applyFont="1" applyBorder="1" applyAlignment="1">
      <alignment horizontal="center" vertical="center"/>
    </xf>
    <xf numFmtId="0" fontId="150" fillId="0" borderId="70" xfId="0" applyFont="1" applyBorder="1" applyAlignment="1">
      <alignment horizontal="center" vertical="center"/>
    </xf>
    <xf numFmtId="0" fontId="150" fillId="0" borderId="68" xfId="0" applyFont="1" applyBorder="1" applyAlignment="1">
      <alignment horizontal="center" vertical="center"/>
    </xf>
    <xf numFmtId="0" fontId="150" fillId="0" borderId="67" xfId="0" applyFont="1" applyBorder="1" applyAlignment="1">
      <alignment horizontal="center" vertical="center"/>
    </xf>
    <xf numFmtId="0" fontId="150" fillId="0" borderId="6" xfId="0" applyFont="1" applyBorder="1" applyAlignment="1">
      <alignment horizontal="center" vertical="center"/>
    </xf>
    <xf numFmtId="0" fontId="150" fillId="0" borderId="34" xfId="0" applyFont="1" applyBorder="1" applyAlignment="1">
      <alignment horizontal="center" vertical="center" wrapText="1"/>
    </xf>
    <xf numFmtId="0" fontId="150" fillId="0" borderId="35" xfId="0" applyFont="1" applyBorder="1" applyAlignment="1">
      <alignment horizontal="center" vertical="center" wrapText="1"/>
    </xf>
    <xf numFmtId="0" fontId="150" fillId="0" borderId="6" xfId="0" applyFont="1" applyBorder="1" applyAlignment="1">
      <alignment horizontal="center" vertical="center" wrapText="1"/>
    </xf>
    <xf numFmtId="0" fontId="150" fillId="0" borderId="69" xfId="0" applyFont="1" applyBorder="1" applyAlignment="1">
      <alignment horizontal="center" vertical="center"/>
    </xf>
    <xf numFmtId="0" fontId="150" fillId="0" borderId="61" xfId="0" applyFont="1" applyBorder="1" applyAlignment="1">
      <alignment horizontal="center" vertical="center"/>
    </xf>
    <xf numFmtId="0" fontId="150" fillId="0" borderId="69" xfId="0" applyFont="1" applyBorder="1" applyAlignment="1">
      <alignment horizontal="center" vertical="center" wrapText="1"/>
    </xf>
    <xf numFmtId="0" fontId="0" fillId="0" borderId="61" xfId="0" applyBorder="1"/>
    <xf numFmtId="0" fontId="150" fillId="0" borderId="103" xfId="0" applyFont="1" applyBorder="1" applyAlignment="1">
      <alignment horizontal="center" vertical="center" wrapText="1"/>
    </xf>
    <xf numFmtId="0" fontId="150" fillId="0" borderId="70" xfId="0" applyFont="1" applyBorder="1" applyAlignment="1">
      <alignment horizontal="center" vertical="center" wrapText="1"/>
    </xf>
    <xf numFmtId="0" fontId="38" fillId="0" borderId="27" xfId="1507" applyFont="1" applyBorder="1" applyAlignment="1">
      <alignment horizontal="center" vertical="center"/>
    </xf>
    <xf numFmtId="0" fontId="38" fillId="0" borderId="37" xfId="1507" applyFont="1" applyBorder="1" applyAlignment="1">
      <alignment horizontal="center" vertical="center"/>
    </xf>
    <xf numFmtId="0" fontId="38" fillId="0" borderId="72" xfId="1507" applyFont="1" applyBorder="1" applyAlignment="1">
      <alignment horizontal="center" vertical="center"/>
    </xf>
    <xf numFmtId="0" fontId="38" fillId="0" borderId="23" xfId="1507" applyFont="1" applyBorder="1" applyAlignment="1">
      <alignment horizontal="center" vertical="center"/>
    </xf>
    <xf numFmtId="0" fontId="38" fillId="0" borderId="42" xfId="1507" applyFont="1" applyBorder="1" applyAlignment="1">
      <alignment horizontal="center" vertical="center"/>
    </xf>
    <xf numFmtId="0" fontId="168" fillId="0" borderId="0" xfId="0" applyFont="1" applyBorder="1" applyAlignment="1">
      <alignment horizontal="center"/>
    </xf>
    <xf numFmtId="0" fontId="168" fillId="0" borderId="33" xfId="0" applyFont="1" applyBorder="1" applyAlignment="1">
      <alignment horizontal="center"/>
    </xf>
    <xf numFmtId="0" fontId="168" fillId="0" borderId="101" xfId="0" applyFont="1" applyBorder="1" applyAlignment="1">
      <alignment horizontal="center"/>
    </xf>
    <xf numFmtId="0" fontId="168" fillId="0" borderId="46" xfId="0" applyFont="1" applyBorder="1" applyAlignment="1">
      <alignment horizontal="center"/>
    </xf>
    <xf numFmtId="0" fontId="168" fillId="0" borderId="44" xfId="0" applyFont="1" applyBorder="1" applyAlignment="1">
      <alignment horizontal="center"/>
    </xf>
    <xf numFmtId="0" fontId="168" fillId="0" borderId="47" xfId="0" applyFont="1" applyBorder="1" applyAlignment="1">
      <alignment horizontal="center"/>
    </xf>
    <xf numFmtId="0" fontId="168" fillId="0" borderId="0" xfId="0" applyFont="1" applyAlignment="1">
      <alignment horizontal="center"/>
    </xf>
    <xf numFmtId="1" fontId="32" fillId="0" borderId="6" xfId="0" applyNumberFormat="1" applyFont="1" applyFill="1" applyBorder="1" applyAlignment="1">
      <alignment horizontal="center" vertical="top" wrapText="1"/>
    </xf>
    <xf numFmtId="49" fontId="32" fillId="0" borderId="6" xfId="0" applyNumberFormat="1" applyFont="1" applyFill="1" applyBorder="1" applyAlignment="1">
      <alignment horizontal="center" vertical="top" wrapText="1"/>
    </xf>
    <xf numFmtId="14" fontId="32" fillId="0" borderId="6" xfId="0" applyNumberFormat="1" applyFont="1" applyFill="1" applyBorder="1" applyAlignment="1">
      <alignment vertical="top" wrapText="1"/>
    </xf>
    <xf numFmtId="0" fontId="32" fillId="0" borderId="6" xfId="0" applyFont="1" applyFill="1" applyBorder="1" applyAlignment="1">
      <alignment vertical="top" wrapText="1"/>
    </xf>
    <xf numFmtId="0" fontId="154" fillId="0" borderId="0" xfId="0" applyFont="1" applyAlignment="1">
      <alignment horizontal="left" wrapText="1"/>
    </xf>
    <xf numFmtId="0" fontId="178" fillId="0" borderId="0" xfId="1182" applyFont="1" applyAlignment="1" applyProtection="1">
      <alignment horizontal="left" wrapText="1"/>
    </xf>
    <xf numFmtId="0" fontId="178" fillId="0" borderId="0" xfId="1182" applyFont="1" applyAlignment="1" applyProtection="1">
      <alignment horizontal="left"/>
    </xf>
    <xf numFmtId="0" fontId="179" fillId="0" borderId="0" xfId="0" applyFont="1" applyFill="1" applyBorder="1" applyAlignment="1">
      <alignment horizontal="center" vertical="top" wrapText="1"/>
    </xf>
    <xf numFmtId="0" fontId="32" fillId="0" borderId="6" xfId="0" applyFont="1" applyFill="1" applyBorder="1" applyAlignment="1">
      <alignment horizontal="center" vertical="top" wrapText="1"/>
    </xf>
    <xf numFmtId="0" fontId="182" fillId="0" borderId="69" xfId="1182" applyFont="1" applyFill="1" applyBorder="1" applyAlignment="1" applyProtection="1">
      <alignment horizontal="center" vertical="center" wrapText="1"/>
    </xf>
    <xf numFmtId="0" fontId="182" fillId="0" borderId="78" xfId="1182" applyFont="1" applyFill="1" applyBorder="1" applyAlignment="1" applyProtection="1">
      <alignment horizontal="center" vertical="center" wrapText="1"/>
    </xf>
    <xf numFmtId="0" fontId="182" fillId="0" borderId="61" xfId="1182" applyFont="1" applyFill="1" applyBorder="1" applyAlignment="1" applyProtection="1">
      <alignment horizontal="center" vertical="center" wrapText="1"/>
    </xf>
    <xf numFmtId="0" fontId="32" fillId="0" borderId="6" xfId="0" applyFont="1" applyFill="1" applyBorder="1" applyAlignment="1">
      <alignment horizontal="center" vertical="center" wrapText="1"/>
    </xf>
    <xf numFmtId="0" fontId="190" fillId="0" borderId="101" xfId="0" applyFont="1" applyBorder="1" applyAlignment="1">
      <alignment horizontal="center" wrapText="1"/>
    </xf>
    <xf numFmtId="0" fontId="190" fillId="0" borderId="47" xfId="0" applyFont="1" applyBorder="1" applyAlignment="1">
      <alignment horizontal="center" wrapText="1"/>
    </xf>
    <xf numFmtId="0" fontId="190" fillId="0" borderId="102" xfId="0" applyFont="1" applyBorder="1" applyAlignment="1">
      <alignment horizontal="center" wrapText="1"/>
    </xf>
    <xf numFmtId="0" fontId="190" fillId="0" borderId="96" xfId="0" applyFont="1" applyBorder="1" applyAlignment="1">
      <alignment horizontal="center" wrapText="1"/>
    </xf>
    <xf numFmtId="0" fontId="190" fillId="0" borderId="94" xfId="0" applyFont="1" applyBorder="1" applyAlignment="1">
      <alignment horizontal="center" wrapText="1"/>
    </xf>
    <xf numFmtId="0" fontId="190" fillId="0" borderId="95" xfId="0" applyFont="1" applyBorder="1" applyAlignment="1">
      <alignment horizontal="center" wrapText="1"/>
    </xf>
    <xf numFmtId="0" fontId="190" fillId="0" borderId="99" xfId="0" applyFont="1" applyBorder="1" applyAlignment="1">
      <alignment horizontal="center" wrapText="1"/>
    </xf>
    <xf numFmtId="0" fontId="190" fillId="0" borderId="46" xfId="0" applyFont="1" applyBorder="1" applyAlignment="1">
      <alignment horizontal="center" wrapText="1"/>
    </xf>
    <xf numFmtId="0" fontId="190" fillId="0" borderId="12" xfId="0" applyFont="1" applyBorder="1" applyAlignment="1">
      <alignment horizontal="center" wrapText="1"/>
    </xf>
    <xf numFmtId="1" fontId="32" fillId="0" borderId="34" xfId="0" applyNumberFormat="1" applyFont="1" applyFill="1" applyBorder="1" applyAlignment="1">
      <alignment horizontal="center" vertical="top" wrapText="1"/>
    </xf>
    <xf numFmtId="1" fontId="32" fillId="0" borderId="1" xfId="0" applyNumberFormat="1" applyFont="1" applyFill="1" applyBorder="1" applyAlignment="1">
      <alignment horizontal="center" vertical="top" wrapText="1"/>
    </xf>
    <xf numFmtId="0" fontId="183" fillId="0" borderId="69" xfId="1501" applyFont="1" applyFill="1" applyBorder="1" applyAlignment="1">
      <alignment horizontal="center" vertical="top" wrapText="1"/>
    </xf>
    <xf numFmtId="0" fontId="145" fillId="0" borderId="61" xfId="1501" applyFont="1" applyFill="1" applyBorder="1" applyAlignment="1">
      <alignment horizontal="center" vertical="top" wrapText="1"/>
    </xf>
    <xf numFmtId="0" fontId="183" fillId="0" borderId="34" xfId="1501" applyFont="1" applyFill="1" applyBorder="1" applyAlignment="1">
      <alignment horizontal="center" vertical="top" wrapText="1"/>
    </xf>
    <xf numFmtId="0" fontId="12" fillId="0" borderId="35" xfId="1501" applyFill="1" applyBorder="1" applyAlignment="1">
      <alignment horizontal="center" vertical="top" wrapText="1"/>
    </xf>
    <xf numFmtId="0" fontId="177" fillId="0" borderId="6" xfId="0" applyFont="1" applyFill="1" applyBorder="1" applyAlignment="1">
      <alignment horizontal="center" vertical="center" wrapText="1"/>
    </xf>
    <xf numFmtId="0" fontId="193" fillId="0" borderId="94" xfId="0" applyFont="1" applyBorder="1" applyAlignment="1">
      <alignment horizontal="center" wrapText="1"/>
    </xf>
    <xf numFmtId="0" fontId="193" fillId="0" borderId="99" xfId="0" applyFont="1" applyBorder="1" applyAlignment="1">
      <alignment horizontal="center" wrapText="1"/>
    </xf>
    <xf numFmtId="0" fontId="192" fillId="0" borderId="39" xfId="0" applyFont="1" applyBorder="1" applyAlignment="1">
      <alignment horizontal="center" wrapText="1"/>
    </xf>
    <xf numFmtId="0" fontId="192" fillId="0" borderId="105" xfId="0" applyFont="1" applyBorder="1" applyAlignment="1">
      <alignment horizontal="center" wrapText="1"/>
    </xf>
    <xf numFmtId="0" fontId="192" fillId="0" borderId="43" xfId="0" applyFont="1" applyBorder="1" applyAlignment="1">
      <alignment horizontal="center" wrapText="1"/>
    </xf>
    <xf numFmtId="0" fontId="190" fillId="0" borderId="97" xfId="0" applyFont="1" applyBorder="1" applyAlignment="1">
      <alignment horizontal="center" wrapText="1"/>
    </xf>
    <xf numFmtId="0" fontId="0" fillId="0" borderId="102" xfId="0" applyBorder="1" applyAlignment="1">
      <alignment wrapText="1"/>
    </xf>
    <xf numFmtId="0" fontId="0" fillId="0" borderId="96" xfId="0" applyBorder="1" applyAlignment="1">
      <alignment wrapText="1"/>
    </xf>
    <xf numFmtId="0" fontId="190" fillId="0" borderId="44" xfId="0" applyFont="1" applyBorder="1" applyAlignment="1">
      <alignment horizontal="center" wrapText="1"/>
    </xf>
    <xf numFmtId="0" fontId="190" fillId="0" borderId="33" xfId="0" applyFont="1" applyBorder="1" applyAlignment="1">
      <alignment horizontal="center" wrapText="1"/>
    </xf>
    <xf numFmtId="0" fontId="0" fillId="0" borderId="44" xfId="0" applyBorder="1" applyAlignment="1">
      <alignment wrapText="1"/>
    </xf>
    <xf numFmtId="0" fontId="0" fillId="0" borderId="33" xfId="0" applyBorder="1" applyAlignment="1">
      <alignment wrapText="1"/>
    </xf>
    <xf numFmtId="0" fontId="192" fillId="0" borderId="39" xfId="0" applyFont="1" applyBorder="1" applyAlignment="1">
      <alignment horizontal="center" vertical="top" wrapText="1"/>
    </xf>
    <xf numFmtId="0" fontId="192" fillId="0" borderId="105" xfId="0" applyFont="1" applyBorder="1" applyAlignment="1">
      <alignment horizontal="center" vertical="top" wrapText="1"/>
    </xf>
    <xf numFmtId="0" fontId="192" fillId="0" borderId="43" xfId="0" applyFont="1" applyBorder="1" applyAlignment="1">
      <alignment horizontal="center" vertical="top" wrapText="1"/>
    </xf>
    <xf numFmtId="0" fontId="192" fillId="0" borderId="94" xfId="0" applyFont="1" applyBorder="1" applyAlignment="1">
      <alignment horizontal="center" wrapText="1"/>
    </xf>
    <xf numFmtId="0" fontId="192" fillId="0" borderId="95" xfId="0" applyFont="1" applyBorder="1" applyAlignment="1">
      <alignment horizontal="center" wrapText="1"/>
    </xf>
    <xf numFmtId="0" fontId="192" fillId="0" borderId="99" xfId="0" applyFont="1" applyBorder="1" applyAlignment="1">
      <alignment horizontal="center" wrapText="1"/>
    </xf>
    <xf numFmtId="0" fontId="190" fillId="0" borderId="101" xfId="0" applyFont="1" applyBorder="1" applyAlignment="1">
      <alignment horizontal="center"/>
    </xf>
    <xf numFmtId="0" fontId="190" fillId="0" borderId="46" xfId="0" applyFont="1" applyBorder="1" applyAlignment="1">
      <alignment horizontal="center"/>
    </xf>
    <xf numFmtId="0" fontId="190" fillId="0" borderId="142" xfId="0" applyFont="1" applyBorder="1" applyAlignment="1">
      <alignment horizontal="center"/>
    </xf>
    <xf numFmtId="0" fontId="190" fillId="0" borderId="102" xfId="0" applyFont="1" applyBorder="1" applyAlignment="1">
      <alignment horizontal="center"/>
    </xf>
    <xf numFmtId="0" fontId="190" fillId="0" borderId="12" xfId="0" applyFont="1" applyBorder="1" applyAlignment="1">
      <alignment horizontal="center"/>
    </xf>
    <xf numFmtId="0" fontId="190" fillId="0" borderId="143" xfId="0" applyFont="1" applyBorder="1" applyAlignment="1">
      <alignment horizontal="center"/>
    </xf>
    <xf numFmtId="0" fontId="189" fillId="0" borderId="39" xfId="0" applyFont="1" applyBorder="1" applyAlignment="1">
      <alignment horizontal="center" wrapText="1"/>
    </xf>
    <xf numFmtId="0" fontId="189" fillId="0" borderId="105" xfId="0" applyFont="1" applyBorder="1" applyAlignment="1">
      <alignment horizontal="center" wrapText="1"/>
    </xf>
    <xf numFmtId="0" fontId="189" fillId="0" borderId="43" xfId="0" applyFont="1" applyBorder="1" applyAlignment="1">
      <alignment horizontal="center" wrapText="1"/>
    </xf>
    <xf numFmtId="2" fontId="0" fillId="0" borderId="27" xfId="0" applyNumberFormat="1" applyBorder="1" applyAlignment="1">
      <alignment horizontal="center" vertical="center"/>
    </xf>
    <xf numFmtId="0" fontId="0" fillId="0" borderId="1" xfId="0" applyBorder="1"/>
    <xf numFmtId="0" fontId="0" fillId="0" borderId="37" xfId="0" applyBorder="1"/>
    <xf numFmtId="2" fontId="0" fillId="0" borderId="28" xfId="0" applyNumberFormat="1" applyBorder="1" applyAlignment="1">
      <alignment horizontal="center" vertical="center"/>
    </xf>
    <xf numFmtId="0" fontId="0" fillId="0" borderId="41" xfId="0" applyBorder="1"/>
    <xf numFmtId="0" fontId="0" fillId="0" borderId="52" xfId="0" applyBorder="1"/>
    <xf numFmtId="0" fontId="0" fillId="0" borderId="23" xfId="0" applyBorder="1" applyAlignment="1">
      <alignment horizontal="center" vertical="center"/>
    </xf>
    <xf numFmtId="0" fontId="0" fillId="0" borderId="40" xfId="0" applyBorder="1"/>
    <xf numFmtId="0" fontId="0" fillId="0" borderId="42" xfId="0" applyBorder="1"/>
    <xf numFmtId="0" fontId="0" fillId="0" borderId="27" xfId="0" applyBorder="1" applyAlignment="1">
      <alignment horizontal="center" vertical="center" wrapText="1"/>
    </xf>
    <xf numFmtId="14" fontId="0" fillId="0" borderId="27" xfId="0" applyNumberFormat="1" applyBorder="1" applyAlignment="1">
      <alignment horizontal="center" vertical="center"/>
    </xf>
    <xf numFmtId="0" fontId="23" fillId="0" borderId="0" xfId="0" applyFont="1" applyAlignment="1"/>
    <xf numFmtId="0" fontId="0" fillId="0" borderId="94" xfId="0" applyBorder="1" applyAlignment="1">
      <alignment horizontal="center" vertical="center" wrapText="1"/>
    </xf>
    <xf numFmtId="0" fontId="0" fillId="0" borderId="99" xfId="0" applyBorder="1" applyAlignment="1">
      <alignment horizontal="center" vertical="center" wrapText="1"/>
    </xf>
    <xf numFmtId="0" fontId="0" fillId="0" borderId="39" xfId="0" applyBorder="1" applyAlignment="1"/>
    <xf numFmtId="0" fontId="0" fillId="0" borderId="43" xfId="0" applyBorder="1" applyAlignment="1"/>
    <xf numFmtId="0" fontId="0" fillId="0" borderId="94" xfId="0" applyBorder="1" applyAlignment="1">
      <alignment wrapText="1"/>
    </xf>
    <xf numFmtId="0" fontId="0" fillId="0" borderId="99" xfId="0" applyBorder="1" applyAlignment="1">
      <alignment wrapText="1"/>
    </xf>
    <xf numFmtId="0" fontId="0" fillId="0" borderId="99" xfId="0" applyBorder="1"/>
    <xf numFmtId="0" fontId="0" fillId="0" borderId="94" xfId="0" applyBorder="1" applyAlignment="1"/>
    <xf numFmtId="0" fontId="0" fillId="0" borderId="99" xfId="0" applyBorder="1" applyAlignment="1"/>
    <xf numFmtId="0" fontId="0" fillId="0" borderId="39" xfId="0" applyBorder="1" applyAlignment="1">
      <alignment horizontal="center" wrapText="1"/>
    </xf>
    <xf numFmtId="0" fontId="0" fillId="0" borderId="105" xfId="0" applyBorder="1"/>
    <xf numFmtId="0" fontId="0" fillId="0" borderId="43" xfId="0" applyBorder="1"/>
    <xf numFmtId="0" fontId="0" fillId="0" borderId="39" xfId="0" applyBorder="1" applyAlignment="1">
      <alignment horizontal="center"/>
    </xf>
    <xf numFmtId="0" fontId="0" fillId="0" borderId="105" xfId="0" applyBorder="1" applyAlignment="1">
      <alignment horizontal="center" wrapText="1"/>
    </xf>
    <xf numFmtId="0" fontId="0" fillId="0" borderId="43" xfId="0" applyBorder="1" applyAlignment="1">
      <alignment horizontal="center" wrapText="1"/>
    </xf>
    <xf numFmtId="0" fontId="180" fillId="54" borderId="6" xfId="0" applyFont="1" applyFill="1" applyBorder="1" applyAlignment="1">
      <alignment horizontal="center" vertical="center" wrapText="1"/>
    </xf>
    <xf numFmtId="0" fontId="210" fillId="0" borderId="0" xfId="0" applyFont="1" applyAlignment="1">
      <alignment horizontal="center"/>
    </xf>
    <xf numFmtId="49" fontId="180" fillId="0" borderId="6" xfId="0" applyNumberFormat="1" applyFont="1" applyBorder="1" applyAlignment="1">
      <alignment horizontal="center" vertical="center" textRotation="90" wrapText="1"/>
    </xf>
    <xf numFmtId="0" fontId="180" fillId="0" borderId="6" xfId="0" applyFont="1" applyBorder="1" applyAlignment="1">
      <alignment horizontal="center" vertical="center" wrapText="1"/>
    </xf>
    <xf numFmtId="0" fontId="180" fillId="0" borderId="6" xfId="0" applyFont="1" applyBorder="1" applyAlignment="1">
      <alignment horizontal="center"/>
    </xf>
    <xf numFmtId="0" fontId="197" fillId="0" borderId="0" xfId="0" applyFont="1" applyAlignment="1">
      <alignment horizontal="left" wrapText="1"/>
    </xf>
    <xf numFmtId="0" fontId="253" fillId="0" borderId="0" xfId="1182" applyAlignment="1" applyProtection="1">
      <alignment horizontal="center" wrapText="1"/>
    </xf>
    <xf numFmtId="0" fontId="197" fillId="0" borderId="72" xfId="0" applyFont="1" applyBorder="1" applyAlignment="1">
      <alignment horizontal="center" vertical="top" wrapText="1"/>
    </xf>
    <xf numFmtId="0" fontId="197" fillId="0" borderId="133" xfId="0" applyFont="1" applyBorder="1" applyAlignment="1">
      <alignment horizontal="center" vertical="top" wrapText="1"/>
    </xf>
    <xf numFmtId="49" fontId="168" fillId="0" borderId="78" xfId="0" applyNumberFormat="1" applyFont="1" applyFill="1" applyBorder="1" applyAlignment="1">
      <alignment horizontal="left"/>
    </xf>
    <xf numFmtId="0" fontId="168" fillId="0" borderId="78" xfId="0" applyFont="1" applyBorder="1" applyAlignment="1">
      <alignment horizontal="left"/>
    </xf>
    <xf numFmtId="49" fontId="88" fillId="0" borderId="78" xfId="1182" applyNumberFormat="1" applyFont="1" applyFill="1" applyBorder="1" applyAlignment="1" applyProtection="1">
      <alignment horizontal="left"/>
    </xf>
    <xf numFmtId="49" fontId="211" fillId="0" borderId="78" xfId="1182" applyNumberFormat="1" applyFont="1" applyFill="1" applyBorder="1" applyAlignment="1" applyProtection="1">
      <alignment horizontal="left"/>
    </xf>
    <xf numFmtId="0" fontId="168" fillId="0" borderId="78" xfId="0" applyFont="1" applyFill="1" applyBorder="1" applyAlignment="1">
      <alignment horizontal="left"/>
    </xf>
    <xf numFmtId="49" fontId="180" fillId="0" borderId="6" xfId="0" applyNumberFormat="1" applyFont="1" applyFill="1" applyBorder="1" applyAlignment="1">
      <alignment horizontal="center" vertical="center" wrapText="1"/>
    </xf>
    <xf numFmtId="0" fontId="0" fillId="0" borderId="6" xfId="0" applyBorder="1" applyAlignment="1"/>
    <xf numFmtId="0" fontId="217" fillId="0" borderId="94" xfId="0" applyFont="1" applyBorder="1" applyAlignment="1">
      <alignment horizontal="center" vertical="top" wrapText="1"/>
    </xf>
    <xf numFmtId="0" fontId="217" fillId="0" borderId="95" xfId="0" applyFont="1" applyBorder="1" applyAlignment="1">
      <alignment horizontal="center" vertical="top" wrapText="1"/>
    </xf>
    <xf numFmtId="0" fontId="217" fillId="0" borderId="99" xfId="0" applyFont="1" applyBorder="1" applyAlignment="1">
      <alignment horizontal="center" vertical="top" wrapText="1"/>
    </xf>
    <xf numFmtId="0" fontId="217" fillId="0" borderId="94" xfId="0" applyFont="1" applyBorder="1" applyAlignment="1">
      <alignment horizontal="center" wrapText="1"/>
    </xf>
    <xf numFmtId="0" fontId="217" fillId="0" borderId="99" xfId="0" applyFont="1" applyBorder="1" applyAlignment="1">
      <alignment horizontal="center" wrapText="1"/>
    </xf>
    <xf numFmtId="0" fontId="36" fillId="0" borderId="12" xfId="1498" applyFont="1" applyBorder="1" applyAlignment="1">
      <alignment horizontal="center" wrapText="1"/>
    </xf>
    <xf numFmtId="0" fontId="235" fillId="0" borderId="0" xfId="1498" applyFont="1" applyAlignment="1">
      <alignment horizontal="center" wrapText="1"/>
    </xf>
    <xf numFmtId="0" fontId="223" fillId="0" borderId="0" xfId="1498" applyFont="1" applyAlignment="1">
      <alignment horizontal="center"/>
    </xf>
    <xf numFmtId="0" fontId="38" fillId="0" borderId="0" xfId="1498" applyFont="1" applyFill="1" applyAlignment="1">
      <alignment horizontal="center" wrapText="1"/>
    </xf>
    <xf numFmtId="0" fontId="36" fillId="0" borderId="127" xfId="1498" applyFont="1" applyFill="1" applyBorder="1" applyAlignment="1">
      <alignment horizontal="center" vertical="top" wrapText="1"/>
    </xf>
    <xf numFmtId="0" fontId="36" fillId="0" borderId="128" xfId="1498" applyFont="1" applyFill="1" applyBorder="1" applyAlignment="1">
      <alignment horizontal="center" vertical="top" wrapText="1"/>
    </xf>
    <xf numFmtId="0" fontId="36" fillId="0" borderId="127" xfId="1498" applyFont="1" applyBorder="1" applyAlignment="1">
      <alignment vertical="top" wrapText="1"/>
    </xf>
    <xf numFmtId="0" fontId="36" fillId="0" borderId="144" xfId="1498" applyFont="1" applyBorder="1" applyAlignment="1">
      <alignment vertical="top" wrapText="1"/>
    </xf>
    <xf numFmtId="0" fontId="36" fillId="0" borderId="128" xfId="1498" applyFont="1" applyBorder="1" applyAlignment="1">
      <alignment vertical="top" wrapText="1"/>
    </xf>
    <xf numFmtId="0" fontId="223" fillId="0" borderId="0" xfId="1460" applyFont="1" applyAlignment="1">
      <alignment horizontal="center"/>
    </xf>
    <xf numFmtId="0" fontId="223" fillId="0" borderId="0" xfId="1460" applyFont="1" applyAlignment="1">
      <alignment horizontal="center" wrapText="1"/>
    </xf>
    <xf numFmtId="0" fontId="223" fillId="0" borderId="106" xfId="1460" applyFont="1" applyBorder="1" applyAlignment="1">
      <alignment horizontal="center" vertical="top" wrapText="1"/>
    </xf>
    <xf numFmtId="0" fontId="36" fillId="0" borderId="145" xfId="1460" applyFont="1" applyBorder="1" applyAlignment="1">
      <alignment horizontal="center" vertical="top" wrapText="1"/>
    </xf>
    <xf numFmtId="0" fontId="36" fillId="0" borderId="146" xfId="1460" applyFont="1" applyBorder="1" applyAlignment="1">
      <alignment horizontal="center" vertical="top" wrapText="1"/>
    </xf>
    <xf numFmtId="0" fontId="36" fillId="0" borderId="130" xfId="1460" applyFont="1" applyBorder="1" applyAlignment="1">
      <alignment horizontal="center" vertical="top" wrapText="1"/>
    </xf>
    <xf numFmtId="0" fontId="33" fillId="0" borderId="0" xfId="1498" applyFont="1" applyAlignment="1">
      <alignment horizontal="left"/>
    </xf>
    <xf numFmtId="0" fontId="36" fillId="0" borderId="6" xfId="1460" applyFont="1" applyBorder="1" applyAlignment="1">
      <alignment horizontal="left" vertical="top" wrapText="1"/>
    </xf>
    <xf numFmtId="0" fontId="36" fillId="0" borderId="69" xfId="1460" applyFont="1" applyBorder="1" applyAlignment="1">
      <alignment horizontal="left" vertical="top" wrapText="1"/>
    </xf>
    <xf numFmtId="0" fontId="36" fillId="0" borderId="78" xfId="1460" applyFont="1" applyBorder="1" applyAlignment="1">
      <alignment horizontal="left" vertical="top" wrapText="1"/>
    </xf>
    <xf numFmtId="0" fontId="36" fillId="0" borderId="61" xfId="1460" applyFont="1" applyBorder="1" applyAlignment="1">
      <alignment horizontal="left" vertical="top" wrapText="1"/>
    </xf>
    <xf numFmtId="0" fontId="36" fillId="0" borderId="6" xfId="1460" applyFont="1" applyBorder="1" applyAlignment="1">
      <alignment horizontal="center" vertical="top" wrapText="1"/>
    </xf>
    <xf numFmtId="0" fontId="141" fillId="0" borderId="0" xfId="1460" applyFont="1" applyAlignment="1">
      <alignment horizontal="center" wrapText="1"/>
    </xf>
    <xf numFmtId="0" fontId="36" fillId="0" borderId="0" xfId="1460" applyAlignment="1">
      <alignment horizontal="left" wrapText="1"/>
    </xf>
    <xf numFmtId="16" fontId="36" fillId="0" borderId="6" xfId="1460" applyNumberFormat="1" applyFont="1" applyBorder="1" applyAlignment="1">
      <alignment vertical="top" wrapText="1"/>
    </xf>
    <xf numFmtId="0" fontId="36" fillId="0" borderId="6" xfId="1460" applyFont="1" applyBorder="1" applyAlignment="1">
      <alignment vertical="top" wrapText="1"/>
    </xf>
    <xf numFmtId="0" fontId="36" fillId="0" borderId="0" xfId="1460" applyFont="1" applyAlignment="1">
      <alignment horizontal="center" wrapText="1"/>
    </xf>
    <xf numFmtId="0" fontId="36" fillId="0" borderId="0" xfId="1460" applyAlignment="1">
      <alignment horizontal="center" vertical="top" wrapText="1"/>
    </xf>
    <xf numFmtId="0" fontId="237" fillId="0" borderId="6" xfId="1460" applyFont="1" applyBorder="1" applyAlignment="1">
      <alignment horizontal="center" vertical="top" wrapText="1"/>
    </xf>
    <xf numFmtId="164" fontId="36" fillId="0" borderId="6" xfId="1460" applyNumberFormat="1" applyFont="1" applyBorder="1" applyAlignment="1">
      <alignment horizontal="center" vertical="top" wrapText="1"/>
    </xf>
    <xf numFmtId="0" fontId="36" fillId="0" borderId="69" xfId="1460" quotePrefix="1" applyFont="1" applyBorder="1" applyAlignment="1">
      <alignment horizontal="center" vertical="center" wrapText="1"/>
    </xf>
    <xf numFmtId="0" fontId="36" fillId="0" borderId="78" xfId="1460" applyFont="1" applyBorder="1" applyAlignment="1">
      <alignment horizontal="center" vertical="center" wrapText="1"/>
    </xf>
    <xf numFmtId="0" fontId="36" fillId="0" borderId="61" xfId="1460" applyFont="1" applyBorder="1" applyAlignment="1">
      <alignment horizontal="center" vertical="center" wrapText="1"/>
    </xf>
    <xf numFmtId="0" fontId="168" fillId="0" borderId="0" xfId="1498" applyFont="1" applyAlignment="1">
      <alignment horizontal="center" vertical="top" wrapText="1"/>
    </xf>
    <xf numFmtId="164" fontId="237" fillId="0" borderId="6" xfId="1460" applyNumberFormat="1" applyFont="1" applyBorder="1" applyAlignment="1">
      <alignment horizontal="center" vertical="top" wrapText="1"/>
    </xf>
    <xf numFmtId="0" fontId="0" fillId="0" borderId="0" xfId="0" applyAlignment="1">
      <alignment horizontal="center" wrapText="1"/>
    </xf>
    <xf numFmtId="0" fontId="32" fillId="0" borderId="57" xfId="1506" applyFont="1" applyFill="1" applyBorder="1" applyAlignment="1">
      <alignment horizontal="center" vertical="center" wrapText="1"/>
    </xf>
    <xf numFmtId="0" fontId="32" fillId="0" borderId="59" xfId="1506" applyFont="1" applyFill="1" applyBorder="1" applyAlignment="1">
      <alignment horizontal="center" vertical="center" wrapText="1"/>
    </xf>
    <xf numFmtId="0" fontId="32" fillId="0" borderId="72" xfId="1506" applyFont="1" applyFill="1" applyBorder="1" applyAlignment="1">
      <alignment horizontal="center" vertical="center" wrapText="1"/>
    </xf>
    <xf numFmtId="0" fontId="32" fillId="0" borderId="69" xfId="1506" applyFont="1" applyFill="1" applyBorder="1" applyAlignment="1">
      <alignment horizontal="center" vertical="center" wrapText="1"/>
    </xf>
    <xf numFmtId="0" fontId="32" fillId="0" borderId="94" xfId="1506" applyFont="1" applyFill="1" applyBorder="1" applyAlignment="1">
      <alignment horizontal="center" vertical="center" wrapText="1"/>
    </xf>
    <xf numFmtId="0" fontId="32" fillId="0" borderId="66" xfId="1506" applyFont="1" applyFill="1" applyBorder="1" applyAlignment="1">
      <alignment horizontal="center" vertical="center" wrapText="1"/>
    </xf>
    <xf numFmtId="0" fontId="32" fillId="0" borderId="30" xfId="1506" applyFont="1" applyFill="1" applyBorder="1" applyAlignment="1">
      <alignment horizontal="center" vertical="center" wrapText="1"/>
    </xf>
    <xf numFmtId="0" fontId="32" fillId="0" borderId="31" xfId="1506" applyFont="1" applyFill="1" applyBorder="1" applyAlignment="1">
      <alignment horizontal="center" vertical="center" wrapText="1"/>
    </xf>
    <xf numFmtId="0" fontId="32" fillId="0" borderId="71" xfId="1506" applyFont="1" applyFill="1" applyBorder="1" applyAlignment="1">
      <alignment horizontal="center" vertical="center" wrapText="1"/>
    </xf>
    <xf numFmtId="0" fontId="32" fillId="0" borderId="61" xfId="1506" applyFont="1" applyFill="1" applyBorder="1" applyAlignment="1">
      <alignment horizontal="center" vertical="center" wrapText="1"/>
    </xf>
    <xf numFmtId="0" fontId="32" fillId="0" borderId="45" xfId="1506" applyFont="1" applyFill="1" applyBorder="1" applyAlignment="1">
      <alignment horizontal="center" vertical="center" wrapText="1"/>
    </xf>
    <xf numFmtId="0" fontId="32" fillId="0" borderId="48" xfId="1506" applyFont="1" applyFill="1" applyBorder="1" applyAlignment="1">
      <alignment horizontal="center" vertical="center" wrapText="1"/>
    </xf>
    <xf numFmtId="4" fontId="32" fillId="0" borderId="94" xfId="1506" applyNumberFormat="1" applyFont="1" applyFill="1" applyBorder="1" applyAlignment="1">
      <alignment horizontal="center" vertical="center" wrapText="1"/>
    </xf>
    <xf numFmtId="4" fontId="32" fillId="0" borderId="66" xfId="1506" applyNumberFormat="1" applyFont="1" applyFill="1" applyBorder="1" applyAlignment="1">
      <alignment horizontal="center" vertical="center" wrapText="1"/>
    </xf>
    <xf numFmtId="0" fontId="32" fillId="0" borderId="133" xfId="1506" applyFont="1" applyFill="1" applyBorder="1" applyAlignment="1">
      <alignment horizontal="center" vertical="center" wrapText="1"/>
    </xf>
    <xf numFmtId="0" fontId="32" fillId="0" borderId="78" xfId="1506" applyFont="1" applyFill="1" applyBorder="1" applyAlignment="1">
      <alignment horizontal="center" vertical="center" wrapText="1"/>
    </xf>
    <xf numFmtId="0" fontId="32" fillId="0" borderId="45" xfId="1506" applyFont="1" applyBorder="1" applyAlignment="1">
      <alignment horizontal="center" vertical="center" wrapText="1"/>
    </xf>
    <xf numFmtId="0" fontId="32" fillId="0" borderId="48" xfId="1506" applyFont="1" applyBorder="1" applyAlignment="1">
      <alignment horizontal="center" vertical="center" wrapText="1"/>
    </xf>
    <xf numFmtId="0" fontId="32" fillId="0" borderId="29" xfId="1506" applyFont="1" applyBorder="1" applyAlignment="1">
      <alignment horizontal="center" vertical="center" wrapText="1"/>
    </xf>
    <xf numFmtId="0" fontId="32" fillId="0" borderId="6" xfId="1506" applyFont="1" applyBorder="1" applyAlignment="1">
      <alignment horizontal="center" vertical="center" wrapText="1"/>
    </xf>
    <xf numFmtId="0" fontId="36" fillId="0" borderId="0" xfId="0" applyFont="1" applyAlignment="1">
      <alignment horizontal="center" vertical="center" wrapText="1"/>
    </xf>
    <xf numFmtId="0" fontId="141" fillId="0" borderId="0" xfId="0" applyFont="1" applyAlignment="1">
      <alignment horizontal="center" vertical="center"/>
    </xf>
    <xf numFmtId="0" fontId="241" fillId="0" borderId="0" xfId="0" applyFont="1" applyAlignment="1">
      <alignment horizontal="center" wrapText="1"/>
    </xf>
    <xf numFmtId="0" fontId="241" fillId="0" borderId="0" xfId="0" applyFont="1" applyAlignment="1">
      <alignment horizontal="center"/>
    </xf>
    <xf numFmtId="0" fontId="168" fillId="0" borderId="0" xfId="0" applyFont="1" applyAlignment="1">
      <alignment horizontal="center" vertical="top"/>
    </xf>
    <xf numFmtId="0" fontId="32" fillId="0" borderId="0" xfId="0" applyFont="1" applyAlignment="1">
      <alignment horizontal="left" wrapText="1" indent="3"/>
    </xf>
    <xf numFmtId="0" fontId="195" fillId="0" borderId="61" xfId="1505" applyFont="1" applyBorder="1" applyAlignment="1">
      <alignment horizontal="center" vertical="center" wrapText="1"/>
    </xf>
    <xf numFmtId="0" fontId="195" fillId="0" borderId="6" xfId="1505" applyFont="1" applyBorder="1" applyAlignment="1">
      <alignment horizontal="center" vertical="center" wrapText="1"/>
    </xf>
    <xf numFmtId="0" fontId="195" fillId="0" borderId="69" xfId="1505" applyFont="1" applyBorder="1" applyAlignment="1">
      <alignment horizontal="center" vertical="center" wrapText="1"/>
    </xf>
    <xf numFmtId="0" fontId="183" fillId="0" borderId="69" xfId="1210" applyFont="1" applyFill="1" applyBorder="1" applyAlignment="1" applyProtection="1">
      <alignment horizontal="center" vertical="center" wrapText="1"/>
    </xf>
    <xf numFmtId="0" fontId="183" fillId="0" borderId="78" xfId="1210" applyFont="1" applyFill="1" applyBorder="1" applyAlignment="1" applyProtection="1">
      <alignment horizontal="center" vertical="center" wrapText="1"/>
    </xf>
    <xf numFmtId="0" fontId="183" fillId="0" borderId="61" xfId="1210" applyFont="1" applyFill="1" applyBorder="1" applyAlignment="1" applyProtection="1">
      <alignment horizontal="center" vertical="center" wrapText="1"/>
    </xf>
    <xf numFmtId="0" fontId="34" fillId="0" borderId="69" xfId="1301" applyFont="1" applyFill="1" applyBorder="1" applyAlignment="1" applyProtection="1">
      <alignment horizontal="center" vertical="center" wrapText="1"/>
    </xf>
    <xf numFmtId="0" fontId="34" fillId="0" borderId="61" xfId="1301" applyFont="1" applyFill="1" applyBorder="1" applyAlignment="1" applyProtection="1">
      <alignment horizontal="center" vertical="center" wrapText="1"/>
    </xf>
    <xf numFmtId="0" fontId="34" fillId="0" borderId="34" xfId="1301" applyFont="1" applyFill="1" applyBorder="1" applyAlignment="1" applyProtection="1">
      <alignment horizontal="center" vertical="center" wrapText="1"/>
    </xf>
    <xf numFmtId="0" fontId="34" fillId="0" borderId="35" xfId="1301" applyFont="1" applyFill="1" applyBorder="1" applyAlignment="1" applyProtection="1">
      <alignment horizontal="center" vertical="center" wrapText="1"/>
    </xf>
    <xf numFmtId="0" fontId="34" fillId="0" borderId="6" xfId="1301" applyFont="1" applyFill="1" applyBorder="1" applyAlignment="1" applyProtection="1">
      <alignment horizontal="center" vertical="center" wrapText="1"/>
    </xf>
    <xf numFmtId="0" fontId="101" fillId="54" borderId="6" xfId="1504" applyFont="1" applyFill="1" applyBorder="1" applyAlignment="1" applyProtection="1">
      <alignment horizontal="center" vertical="center" wrapText="1"/>
    </xf>
    <xf numFmtId="0" fontId="183" fillId="0" borderId="6" xfId="1210" applyFont="1" applyFill="1" applyBorder="1" applyAlignment="1" applyProtection="1">
      <alignment horizontal="center" vertical="center" wrapText="1"/>
    </xf>
    <xf numFmtId="0" fontId="34" fillId="0" borderId="1" xfId="1301" applyFont="1" applyFill="1" applyBorder="1" applyAlignment="1" applyProtection="1">
      <alignment horizontal="center" vertical="center" wrapText="1"/>
    </xf>
    <xf numFmtId="0" fontId="31" fillId="0" borderId="69" xfId="1210" applyFont="1" applyFill="1" applyBorder="1" applyAlignment="1" applyProtection="1">
      <alignment horizontal="center" vertical="center" wrapText="1"/>
    </xf>
    <xf numFmtId="0" fontId="31" fillId="0" borderId="78" xfId="1210" applyFont="1" applyFill="1" applyBorder="1" applyAlignment="1" applyProtection="1">
      <alignment horizontal="center" vertical="center" wrapText="1"/>
    </xf>
    <xf numFmtId="0" fontId="31" fillId="0" borderId="61" xfId="1210" applyFont="1" applyFill="1" applyBorder="1" applyAlignment="1" applyProtection="1">
      <alignment horizontal="center" vertical="center" wrapText="1"/>
    </xf>
    <xf numFmtId="0" fontId="31" fillId="0" borderId="6" xfId="1210" applyFont="1" applyFill="1" applyBorder="1" applyAlignment="1" applyProtection="1">
      <alignment horizontal="center" vertical="center" wrapText="1"/>
    </xf>
    <xf numFmtId="0" fontId="101" fillId="0" borderId="6" xfId="1301" applyFont="1" applyFill="1" applyBorder="1" applyAlignment="1" applyProtection="1">
      <alignment horizontal="center" vertical="center" wrapText="1"/>
    </xf>
    <xf numFmtId="0" fontId="101" fillId="54" borderId="34" xfId="1504" applyFont="1" applyFill="1" applyBorder="1" applyAlignment="1" applyProtection="1">
      <alignment horizontal="center" vertical="center" wrapText="1"/>
    </xf>
    <xf numFmtId="0" fontId="101" fillId="54" borderId="1" xfId="1504" applyFont="1" applyFill="1" applyBorder="1" applyAlignment="1" applyProtection="1">
      <alignment horizontal="center" vertical="center" wrapText="1"/>
    </xf>
    <xf numFmtId="0" fontId="101" fillId="54" borderId="35" xfId="1504" applyFont="1" applyFill="1" applyBorder="1" applyAlignment="1" applyProtection="1">
      <alignment horizontal="center" vertical="center" wrapText="1"/>
    </xf>
    <xf numFmtId="0" fontId="232" fillId="0" borderId="147" xfId="0" applyFont="1" applyBorder="1" applyAlignment="1">
      <alignment horizontal="center" wrapText="1"/>
    </xf>
    <xf numFmtId="0" fontId="232" fillId="0" borderId="131" xfId="0" applyFont="1" applyBorder="1" applyAlignment="1">
      <alignment horizontal="center" wrapText="1"/>
    </xf>
    <xf numFmtId="0" fontId="232" fillId="0" borderId="148" xfId="0" applyFont="1" applyBorder="1" applyAlignment="1">
      <alignment horizontal="center" wrapText="1"/>
    </xf>
    <xf numFmtId="0" fontId="232" fillId="0" borderId="142" xfId="0" applyFont="1" applyBorder="1" applyAlignment="1">
      <alignment horizontal="center" wrapText="1"/>
    </xf>
    <xf numFmtId="0" fontId="0" fillId="0" borderId="105" xfId="0" applyBorder="1" applyAlignment="1">
      <alignment horizontal="center"/>
    </xf>
    <xf numFmtId="0" fontId="0" fillId="0" borderId="43" xfId="0" applyBorder="1" applyAlignment="1">
      <alignment horizontal="center"/>
    </xf>
    <xf numFmtId="0" fontId="232" fillId="0" borderId="101" xfId="0" applyFont="1" applyBorder="1" applyAlignment="1">
      <alignment horizontal="center" vertical="center" wrapText="1"/>
    </xf>
    <xf numFmtId="0" fontId="232" fillId="0" borderId="44" xfId="0" applyFont="1" applyBorder="1" applyAlignment="1">
      <alignment horizontal="center" vertical="center" wrapText="1"/>
    </xf>
    <xf numFmtId="0" fontId="232" fillId="0" borderId="149" xfId="0" applyFont="1" applyBorder="1" applyAlignment="1">
      <alignment horizontal="center" vertical="center" wrapText="1"/>
    </xf>
    <xf numFmtId="0" fontId="232" fillId="0" borderId="94" xfId="0" applyFont="1" applyBorder="1" applyAlignment="1">
      <alignment horizontal="center" vertical="center" wrapText="1"/>
    </xf>
    <xf numFmtId="0" fontId="232" fillId="0" borderId="95" xfId="0" applyFont="1" applyBorder="1" applyAlignment="1">
      <alignment horizontal="center" vertical="center" wrapText="1"/>
    </xf>
    <xf numFmtId="0" fontId="232" fillId="0" borderId="97" xfId="0" applyFont="1" applyBorder="1" applyAlignment="1">
      <alignment horizontal="center" vertical="center" wrapText="1"/>
    </xf>
  </cellXfs>
  <cellStyles count="1588">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_46EE.2011(v1.0)" xfId="14"/>
    <cellStyle name="_Model_RAB Мой_46EE.2011(v1.2)" xfId="15"/>
    <cellStyle name="_Model_RAB Мой_ARMRAZR" xfId="16"/>
    <cellStyle name="_Model_RAB Мой_BALANCE.WARM.2010.FACT(v1.0)" xfId="17"/>
    <cellStyle name="_Model_RAB Мой_BALANCE.WARM.2010.PLAN" xfId="18"/>
    <cellStyle name="_Model_RAB Мой_BALANCE.WARM.2011YEAR(v0.7)" xfId="19"/>
    <cellStyle name="_Model_RAB Мой_BALANCE.WARM.2011YEAR.NEW.UPDATE.SCHEME" xfId="20"/>
    <cellStyle name="_Model_RAB Мой_EE.2REK.P2011.4.78(v0.3)" xfId="21"/>
    <cellStyle name="_Model_RAB Мой_FORM910.2012(v1.3)" xfId="22"/>
    <cellStyle name="_Model_RAB Мой_INVEST.EE.COR.4.78(v0.2)" xfId="23"/>
    <cellStyle name="_Model_RAB Мой_INVEST.EE.PLAN.4.78(v0.1)" xfId="24"/>
    <cellStyle name="_Model_RAB Мой_INVEST.EE.PLAN.4.78(v0.3)" xfId="25"/>
    <cellStyle name="_Model_RAB Мой_INVEST.EE.PLAN.4.78(v1.0)" xfId="26"/>
    <cellStyle name="_Model_RAB Мой_INVEST.PLAN.4.78(v0.1)" xfId="27"/>
    <cellStyle name="_Model_RAB Мой_INVEST.WARM.PLAN.4.78(v0.1)" xfId="28"/>
    <cellStyle name="_Model_RAB Мой_INVEST_WARM_PLAN" xfId="29"/>
    <cellStyle name="_Model_RAB Мой_NADB.JNVLS.APTEKA.2011(v1.3.3)" xfId="30"/>
    <cellStyle name="_Model_RAB Мой_NADB.JNVLS.APTEKA.2011(v1.3.4)" xfId="31"/>
    <cellStyle name="_Model_RAB Мой_PREDEL.JKH.UTV.2011(v1.0.1)" xfId="32"/>
    <cellStyle name="_Model_RAB Мой_PREDEL.JKH.UTV.2011(v1.1)" xfId="33"/>
    <cellStyle name="_Model_RAB Мой_TEST.TEMPLATE" xfId="34"/>
    <cellStyle name="_Model_RAB Мой_UPDATE.46EE.2011.TO.1.1" xfId="35"/>
    <cellStyle name="_Model_RAB Мой_UPDATE.BALANCE.WARM.2011YEAR.TO.1.1" xfId="36"/>
    <cellStyle name="_Model_RAB Мой_UPDATE.NADB.JNVLS.APTEKA.2011.TO.1.3.4" xfId="37"/>
    <cellStyle name="_Model_RAB_MRSK_svod" xfId="38"/>
    <cellStyle name="_Model_RAB_MRSK_svod 2" xfId="39"/>
    <cellStyle name="_Model_RAB_MRSK_svod 2_OREP.KU.2011.MONTHLY.02(v0.1)" xfId="40"/>
    <cellStyle name="_Model_RAB_MRSK_svod 2_OREP.KU.2011.MONTHLY.02(v0.4)" xfId="41"/>
    <cellStyle name="_Model_RAB_MRSK_svod_46EE.2011(v1.0)" xfId="42"/>
    <cellStyle name="_Model_RAB_MRSK_svod_46EE.2011(v1.2)" xfId="43"/>
    <cellStyle name="_Model_RAB_MRSK_svod_ARMRAZR" xfId="44"/>
    <cellStyle name="_Model_RAB_MRSK_svod_BALANCE.WARM.2010.FACT(v1.0)" xfId="45"/>
    <cellStyle name="_Model_RAB_MRSK_svod_BALANCE.WARM.2010.PLAN" xfId="46"/>
    <cellStyle name="_Model_RAB_MRSK_svod_BALANCE.WARM.2011YEAR(v0.7)" xfId="47"/>
    <cellStyle name="_Model_RAB_MRSK_svod_BALANCE.WARM.2011YEAR.NEW.UPDATE.SCHEME" xfId="48"/>
    <cellStyle name="_Model_RAB_MRSK_svod_EE.2REK.P2011.4.78(v0.3)" xfId="49"/>
    <cellStyle name="_Model_RAB_MRSK_svod_FORM910.2012(v1.3)" xfId="50"/>
    <cellStyle name="_Model_RAB_MRSK_svod_INVEST.EE.COR.4.78(v0.2)" xfId="51"/>
    <cellStyle name="_Model_RAB_MRSK_svod_INVEST.EE.PLAN.4.78(v0.1)" xfId="52"/>
    <cellStyle name="_Model_RAB_MRSK_svod_INVEST.EE.PLAN.4.78(v0.3)" xfId="53"/>
    <cellStyle name="_Model_RAB_MRSK_svod_INVEST.EE.PLAN.4.78(v1.0)" xfId="54"/>
    <cellStyle name="_Model_RAB_MRSK_svod_INVEST.PLAN.4.78(v0.1)" xfId="55"/>
    <cellStyle name="_Model_RAB_MRSK_svod_INVEST.WARM.PLAN.4.78(v0.1)" xfId="56"/>
    <cellStyle name="_Model_RAB_MRSK_svod_INVEST_WARM_PLAN" xfId="57"/>
    <cellStyle name="_Model_RAB_MRSK_svod_NADB.JNVLS.APTEKA.2011(v1.3.3)" xfId="58"/>
    <cellStyle name="_Model_RAB_MRSK_svod_NADB.JNVLS.APTEKA.2011(v1.3.4)" xfId="59"/>
    <cellStyle name="_Model_RAB_MRSK_svod_PREDEL.JKH.UTV.2011(v1.0.1)" xfId="60"/>
    <cellStyle name="_Model_RAB_MRSK_svod_PREDEL.JKH.UTV.2011(v1.1)" xfId="61"/>
    <cellStyle name="_Model_RAB_MRSK_svod_TEST.TEMPLATE" xfId="62"/>
    <cellStyle name="_Model_RAB_MRSK_svod_UPDATE.46EE.2011.TO.1.1" xfId="63"/>
    <cellStyle name="_Model_RAB_MRSK_svod_UPDATE.BALANCE.WARM.2011YEAR.TO.1.1" xfId="64"/>
    <cellStyle name="_Model_RAB_MRSK_svod_UPDATE.NADB.JNVLS.APTEKA.2011.TO.1.3.4" xfId="65"/>
    <cellStyle name="_Plug" xfId="66"/>
    <cellStyle name="_Бюджет2006_ПОКАЗАТЕЛИ СВОДНЫЕ" xfId="67"/>
    <cellStyle name="_ВО ОП ТЭС-ОТ- 2007" xfId="68"/>
    <cellStyle name="_ВФ ОАО ТЭС-ОТ- 2009" xfId="69"/>
    <cellStyle name="_выручка по присоединениям2" xfId="70"/>
    <cellStyle name="_Договор аренды ЯЭ с разбивкой" xfId="71"/>
    <cellStyle name="_Защита ФЗП" xfId="72"/>
    <cellStyle name="_Исходные данные для модели" xfId="73"/>
    <cellStyle name="_Консолидация-2008-проект-new" xfId="74"/>
    <cellStyle name="_МОДЕЛЬ_1 (2)" xfId="75"/>
    <cellStyle name="_МОДЕЛЬ_1 (2) 2" xfId="76"/>
    <cellStyle name="_МОДЕЛЬ_1 (2) 2_OREP.KU.2011.MONTHLY.02(v0.1)" xfId="77"/>
    <cellStyle name="_МОДЕЛЬ_1 (2) 2_OREP.KU.2011.MONTHLY.02(v0.4)" xfId="78"/>
    <cellStyle name="_МОДЕЛЬ_1 (2)_46EE.2011(v1.0)" xfId="79"/>
    <cellStyle name="_МОДЕЛЬ_1 (2)_46EE.2011(v1.2)" xfId="80"/>
    <cellStyle name="_МОДЕЛЬ_1 (2)_ARMRAZR" xfId="81"/>
    <cellStyle name="_МОДЕЛЬ_1 (2)_BALANCE.WARM.2010.FACT(v1.0)" xfId="82"/>
    <cellStyle name="_МОДЕЛЬ_1 (2)_BALANCE.WARM.2010.PLAN" xfId="83"/>
    <cellStyle name="_МОДЕЛЬ_1 (2)_BALANCE.WARM.2011YEAR(v0.7)" xfId="84"/>
    <cellStyle name="_МОДЕЛЬ_1 (2)_BALANCE.WARM.2011YEAR.NEW.UPDATE.SCHEME" xfId="85"/>
    <cellStyle name="_МОДЕЛЬ_1 (2)_EE.2REK.P2011.4.78(v0.3)" xfId="86"/>
    <cellStyle name="_МОДЕЛЬ_1 (2)_FORM910.2012(v1.3)" xfId="87"/>
    <cellStyle name="_МОДЕЛЬ_1 (2)_INVEST.EE.COR.4.78(v0.2)" xfId="88"/>
    <cellStyle name="_МОДЕЛЬ_1 (2)_INVEST.EE.PLAN.4.78(v0.1)" xfId="89"/>
    <cellStyle name="_МОДЕЛЬ_1 (2)_INVEST.EE.PLAN.4.78(v0.3)" xfId="90"/>
    <cellStyle name="_МОДЕЛЬ_1 (2)_INVEST.EE.PLAN.4.78(v1.0)" xfId="91"/>
    <cellStyle name="_МОДЕЛЬ_1 (2)_INVEST.PLAN.4.78(v0.1)" xfId="92"/>
    <cellStyle name="_МОДЕЛЬ_1 (2)_INVEST.WARM.PLAN.4.78(v0.1)" xfId="93"/>
    <cellStyle name="_МОДЕЛЬ_1 (2)_INVEST_WARM_PLAN" xfId="94"/>
    <cellStyle name="_МОДЕЛЬ_1 (2)_NADB.JNVLS.APTEKA.2011(v1.3.3)" xfId="95"/>
    <cellStyle name="_МОДЕЛЬ_1 (2)_NADB.JNVLS.APTEKA.2011(v1.3.4)" xfId="96"/>
    <cellStyle name="_МОДЕЛЬ_1 (2)_PREDEL.JKH.UTV.2011(v1.0.1)" xfId="97"/>
    <cellStyle name="_МОДЕЛЬ_1 (2)_PREDEL.JKH.UTV.2011(v1.1)" xfId="98"/>
    <cellStyle name="_МОДЕЛЬ_1 (2)_TEST.TEMPLATE" xfId="99"/>
    <cellStyle name="_МОДЕЛЬ_1 (2)_UPDATE.46EE.2011.TO.1.1" xfId="100"/>
    <cellStyle name="_МОДЕЛЬ_1 (2)_UPDATE.BALANCE.WARM.2011YEAR.TO.1.1" xfId="101"/>
    <cellStyle name="_МОДЕЛЬ_1 (2)_UPDATE.NADB.JNVLS.APTEKA.2011.TO.1.3.4" xfId="102"/>
    <cellStyle name="_НВВ 2009 постатейно свод по филиалам_09_02_09" xfId="103"/>
    <cellStyle name="_НВВ 2009 постатейно свод по филиалам_для Валентина" xfId="104"/>
    <cellStyle name="_Омск" xfId="105"/>
    <cellStyle name="_ОТ ИД 2009" xfId="106"/>
    <cellStyle name="_пр 5 тариф RAB" xfId="107"/>
    <cellStyle name="_пр 5 тариф RAB 2" xfId="108"/>
    <cellStyle name="_пр 5 тариф RAB 2_OREP.KU.2011.MONTHLY.02(v0.1)" xfId="109"/>
    <cellStyle name="_пр 5 тариф RAB 2_OREP.KU.2011.MONTHLY.02(v0.4)" xfId="110"/>
    <cellStyle name="_пр 5 тариф RAB_46EE.2011(v1.0)" xfId="111"/>
    <cellStyle name="_пр 5 тариф RAB_46EE.2011(v1.2)" xfId="112"/>
    <cellStyle name="_пр 5 тариф RAB_ARMRAZR" xfId="113"/>
    <cellStyle name="_пр 5 тариф RAB_BALANCE.WARM.2010.FACT(v1.0)" xfId="114"/>
    <cellStyle name="_пр 5 тариф RAB_BALANCE.WARM.2010.PLAN" xfId="115"/>
    <cellStyle name="_пр 5 тариф RAB_BALANCE.WARM.2011YEAR(v0.7)" xfId="116"/>
    <cellStyle name="_пр 5 тариф RAB_BALANCE.WARM.2011YEAR.NEW.UPDATE.SCHEME" xfId="117"/>
    <cellStyle name="_пр 5 тариф RAB_EE.2REK.P2011.4.78(v0.3)" xfId="118"/>
    <cellStyle name="_пр 5 тариф RAB_FORM910.2012(v1.3)" xfId="119"/>
    <cellStyle name="_пр 5 тариф RAB_INVEST.EE.COR.4.78(v0.2)" xfId="120"/>
    <cellStyle name="_пр 5 тариф RAB_INVEST.EE.PLAN.4.78(v0.1)" xfId="121"/>
    <cellStyle name="_пр 5 тариф RAB_INVEST.EE.PLAN.4.78(v0.3)" xfId="122"/>
    <cellStyle name="_пр 5 тариф RAB_INVEST.EE.PLAN.4.78(v1.0)" xfId="123"/>
    <cellStyle name="_пр 5 тариф RAB_INVEST.PLAN.4.78(v0.1)" xfId="124"/>
    <cellStyle name="_пр 5 тариф RAB_INVEST.WARM.PLAN.4.78(v0.1)" xfId="125"/>
    <cellStyle name="_пр 5 тариф RAB_INVEST_WARM_PLAN" xfId="126"/>
    <cellStyle name="_пр 5 тариф RAB_NADB.JNVLS.APTEKA.2011(v1.3.3)" xfId="127"/>
    <cellStyle name="_пр 5 тариф RAB_NADB.JNVLS.APTEKA.2011(v1.3.4)" xfId="128"/>
    <cellStyle name="_пр 5 тариф RAB_PREDEL.JKH.UTV.2011(v1.0.1)" xfId="129"/>
    <cellStyle name="_пр 5 тариф RAB_PREDEL.JKH.UTV.2011(v1.1)" xfId="130"/>
    <cellStyle name="_пр 5 тариф RAB_TEST.TEMPLATE" xfId="131"/>
    <cellStyle name="_пр 5 тариф RAB_UPDATE.46EE.2011.TO.1.1" xfId="132"/>
    <cellStyle name="_пр 5 тариф RAB_UPDATE.BALANCE.WARM.2011YEAR.TO.1.1" xfId="133"/>
    <cellStyle name="_пр 5 тариф RAB_UPDATE.NADB.JNVLS.APTEKA.2011.TO.1.3.4" xfId="134"/>
    <cellStyle name="_Предожение _ДБП_2009 г ( согласованные БП)  (2)" xfId="135"/>
    <cellStyle name="_Приложение 2 0806 факт" xfId="136"/>
    <cellStyle name="_Приложение МТС-3-КС" xfId="137"/>
    <cellStyle name="_Приложение-МТС--2-1" xfId="138"/>
    <cellStyle name="_Расчет RAB_22072008" xfId="139"/>
    <cellStyle name="_Расчет RAB_22072008 2" xfId="140"/>
    <cellStyle name="_Расчет RAB_22072008 2_OREP.KU.2011.MONTHLY.02(v0.1)" xfId="141"/>
    <cellStyle name="_Расчет RAB_22072008 2_OREP.KU.2011.MONTHLY.02(v0.4)" xfId="142"/>
    <cellStyle name="_Расчет RAB_22072008_46EE.2011(v1.0)" xfId="143"/>
    <cellStyle name="_Расчет RAB_22072008_46EE.2011(v1.2)" xfId="144"/>
    <cellStyle name="_Расчет RAB_22072008_ARMRAZR" xfId="145"/>
    <cellStyle name="_Расчет RAB_22072008_BALANCE.WARM.2010.FACT(v1.0)" xfId="146"/>
    <cellStyle name="_Расчет RAB_22072008_BALANCE.WARM.2010.PLAN" xfId="147"/>
    <cellStyle name="_Расчет RAB_22072008_BALANCE.WARM.2011YEAR(v0.7)" xfId="148"/>
    <cellStyle name="_Расчет RAB_22072008_BALANCE.WARM.2011YEAR.NEW.UPDATE.SCHEME" xfId="149"/>
    <cellStyle name="_Расчет RAB_22072008_EE.2REK.P2011.4.78(v0.3)" xfId="150"/>
    <cellStyle name="_Расчет RAB_22072008_FORM910.2012(v1.3)" xfId="151"/>
    <cellStyle name="_Расчет RAB_22072008_INVEST.EE.COR.4.78(v0.2)" xfId="152"/>
    <cellStyle name="_Расчет RAB_22072008_INVEST.EE.PLAN.4.78(v0.1)" xfId="153"/>
    <cellStyle name="_Расчет RAB_22072008_INVEST.EE.PLAN.4.78(v0.3)" xfId="154"/>
    <cellStyle name="_Расчет RAB_22072008_INVEST.EE.PLAN.4.78(v1.0)" xfId="155"/>
    <cellStyle name="_Расчет RAB_22072008_INVEST.PLAN.4.78(v0.1)" xfId="156"/>
    <cellStyle name="_Расчет RAB_22072008_INVEST.WARM.PLAN.4.78(v0.1)" xfId="157"/>
    <cellStyle name="_Расчет RAB_22072008_INVEST_WARM_PLAN" xfId="158"/>
    <cellStyle name="_Расчет RAB_22072008_NADB.JNVLS.APTEKA.2011(v1.3.3)" xfId="159"/>
    <cellStyle name="_Расчет RAB_22072008_NADB.JNVLS.APTEKA.2011(v1.3.4)" xfId="160"/>
    <cellStyle name="_Расчет RAB_22072008_PREDEL.JKH.UTV.2011(v1.0.1)" xfId="161"/>
    <cellStyle name="_Расчет RAB_22072008_PREDEL.JKH.UTV.2011(v1.1)" xfId="162"/>
    <cellStyle name="_Расчет RAB_22072008_TEST.TEMPLATE" xfId="163"/>
    <cellStyle name="_Расчет RAB_22072008_UPDATE.46EE.2011.TO.1.1" xfId="164"/>
    <cellStyle name="_Расчет RAB_22072008_UPDATE.BALANCE.WARM.2011YEAR.TO.1.1" xfId="165"/>
    <cellStyle name="_Расчет RAB_22072008_UPDATE.NADB.JNVLS.APTEKA.2011.TO.1.3.4" xfId="166"/>
    <cellStyle name="_Расчет RAB_Лен и МОЭСК_с 2010 года_14.04.2009_со сглаж_version 3.0_без ФСК" xfId="167"/>
    <cellStyle name="_Расчет RAB_Лен и МОЭСК_с 2010 года_14.04.2009_со сглаж_version 3.0_без ФСК 2" xfId="168"/>
    <cellStyle name="_Расчет RAB_Лен и МОЭСК_с 2010 года_14.04.2009_со сглаж_version 3.0_без ФСК 2_OREP.KU.2011.MONTHLY.02(v0.1)" xfId="169"/>
    <cellStyle name="_Расчет RAB_Лен и МОЭСК_с 2010 года_14.04.2009_со сглаж_version 3.0_без ФСК 2_OREP.KU.2011.MONTHLY.02(v0.4)" xfId="170"/>
    <cellStyle name="_Расчет RAB_Лен и МОЭСК_с 2010 года_14.04.2009_со сглаж_version 3.0_без ФСК_46EE.2011(v1.0)" xfId="171"/>
    <cellStyle name="_Расчет RAB_Лен и МОЭСК_с 2010 года_14.04.2009_со сглаж_version 3.0_без ФСК_46EE.2011(v1.2)" xfId="172"/>
    <cellStyle name="_Расчет RAB_Лен и МОЭСК_с 2010 года_14.04.2009_со сглаж_version 3.0_без ФСК_ARMRAZR" xfId="173"/>
    <cellStyle name="_Расчет RAB_Лен и МОЭСК_с 2010 года_14.04.2009_со сглаж_version 3.0_без ФСК_BALANCE.WARM.2010.FACT(v1.0)" xfId="174"/>
    <cellStyle name="_Расчет RAB_Лен и МОЭСК_с 2010 года_14.04.2009_со сглаж_version 3.0_без ФСК_BALANCE.WARM.2010.PLAN" xfId="175"/>
    <cellStyle name="_Расчет RAB_Лен и МОЭСК_с 2010 года_14.04.2009_со сглаж_version 3.0_без ФСК_BALANCE.WARM.2011YEAR(v0.7)" xfId="176"/>
    <cellStyle name="_Расчет RAB_Лен и МОЭСК_с 2010 года_14.04.2009_со сглаж_version 3.0_без ФСК_BALANCE.WARM.2011YEAR.NEW.UPDATE.SCHEME" xfId="177"/>
    <cellStyle name="_Расчет RAB_Лен и МОЭСК_с 2010 года_14.04.2009_со сглаж_version 3.0_без ФСК_EE.2REK.P2011.4.78(v0.3)" xfId="178"/>
    <cellStyle name="_Расчет RAB_Лен и МОЭСК_с 2010 года_14.04.2009_со сглаж_version 3.0_без ФСК_FORM910.2012(v1.3)" xfId="179"/>
    <cellStyle name="_Расчет RAB_Лен и МОЭСК_с 2010 года_14.04.2009_со сглаж_version 3.0_без ФСК_INVEST.EE.COR.4.78(v0.2)" xfId="180"/>
    <cellStyle name="_Расчет RAB_Лен и МОЭСК_с 2010 года_14.04.2009_со сглаж_version 3.0_без ФСК_INVEST.EE.PLAN.4.78(v0.1)" xfId="181"/>
    <cellStyle name="_Расчет RAB_Лен и МОЭСК_с 2010 года_14.04.2009_со сглаж_version 3.0_без ФСК_INVEST.EE.PLAN.4.78(v0.3)" xfId="182"/>
    <cellStyle name="_Расчет RAB_Лен и МОЭСК_с 2010 года_14.04.2009_со сглаж_version 3.0_без ФСК_INVEST.EE.PLAN.4.78(v1.0)" xfId="183"/>
    <cellStyle name="_Расчет RAB_Лен и МОЭСК_с 2010 года_14.04.2009_со сглаж_version 3.0_без ФСК_INVEST.PLAN.4.78(v0.1)" xfId="184"/>
    <cellStyle name="_Расчет RAB_Лен и МОЭСК_с 2010 года_14.04.2009_со сглаж_version 3.0_без ФСК_INVEST.WARM.PLAN.4.78(v0.1)" xfId="185"/>
    <cellStyle name="_Расчет RAB_Лен и МОЭСК_с 2010 года_14.04.2009_со сглаж_version 3.0_без ФСК_INVEST_WARM_PLAN" xfId="186"/>
    <cellStyle name="_Расчет RAB_Лен и МОЭСК_с 2010 года_14.04.2009_со сглаж_version 3.0_без ФСК_NADB.JNVLS.APTEKA.2011(v1.3.3)" xfId="187"/>
    <cellStyle name="_Расчет RAB_Лен и МОЭСК_с 2010 года_14.04.2009_со сглаж_version 3.0_без ФСК_NADB.JNVLS.APTEKA.2011(v1.3.4)" xfId="188"/>
    <cellStyle name="_Расчет RAB_Лен и МОЭСК_с 2010 года_14.04.2009_со сглаж_version 3.0_без ФСК_PREDEL.JKH.UTV.2011(v1.0.1)" xfId="189"/>
    <cellStyle name="_Расчет RAB_Лен и МОЭСК_с 2010 года_14.04.2009_со сглаж_version 3.0_без ФСК_PREDEL.JKH.UTV.2011(v1.1)" xfId="190"/>
    <cellStyle name="_Расчет RAB_Лен и МОЭСК_с 2010 года_14.04.2009_со сглаж_version 3.0_без ФСК_TEST.TEMPLATE" xfId="191"/>
    <cellStyle name="_Расчет RAB_Лен и МОЭСК_с 2010 года_14.04.2009_со сглаж_version 3.0_без ФСК_UPDATE.46EE.2011.TO.1.1" xfId="192"/>
    <cellStyle name="_Расчет RAB_Лен и МОЭСК_с 2010 года_14.04.2009_со сглаж_version 3.0_без ФСК_UPDATE.BALANCE.WARM.2011YEAR.TO.1.1" xfId="193"/>
    <cellStyle name="_Расчет RAB_Лен и МОЭСК_с 2010 года_14.04.2009_со сглаж_version 3.0_без ФСК_UPDATE.NADB.JNVLS.APTEKA.2011.TO.1.3.4" xfId="194"/>
    <cellStyle name="_Свод по ИПР (2)" xfId="195"/>
    <cellStyle name="_Справочник затрат_ЛХ_20.10.05" xfId="196"/>
    <cellStyle name="_таблицы для расчетов28-04-08_2006-2009_прибыль корр_по ИА" xfId="197"/>
    <cellStyle name="_таблицы для расчетов28-04-08_2006-2009с ИА" xfId="198"/>
    <cellStyle name="_Форма 6  РТК.xls(отчет по Адр пр. ЛО)" xfId="199"/>
    <cellStyle name="_Формат разбивки по МРСК_РСК" xfId="200"/>
    <cellStyle name="_Формат_для Согласования" xfId="201"/>
    <cellStyle name="_ХХХ Прил 2 Формы бюджетных документов 2007" xfId="202"/>
    <cellStyle name="_экон.форм-т ВО 1 с разбивкой" xfId="203"/>
    <cellStyle name="’К‰Э [0.00]" xfId="204"/>
    <cellStyle name="’ћѓћ‚›‰" xfId="205"/>
    <cellStyle name="”€ќђќ‘ћ‚›‰" xfId="206"/>
    <cellStyle name="”€љ‘€ђћ‚ђќќ›‰" xfId="207"/>
    <cellStyle name="”ќђќ‘ћ‚›‰" xfId="208"/>
    <cellStyle name="”љ‘ђћ‚ђќќ›‰" xfId="209"/>
    <cellStyle name="„…ќ…†ќ›‰" xfId="210"/>
    <cellStyle name="‡ђѓћ‹ћ‚ћљ1" xfId="211"/>
    <cellStyle name="‡ђѓћ‹ћ‚ћљ2" xfId="212"/>
    <cellStyle name="€’ћѓћ‚›‰" xfId="213"/>
    <cellStyle name="1Normal" xfId="214"/>
    <cellStyle name="20% - Accent1" xfId="215"/>
    <cellStyle name="20% - Accent1 2" xfId="216"/>
    <cellStyle name="20% - Accent1 3" xfId="217"/>
    <cellStyle name="20% - Accent1_46EE.2011(v1.0)" xfId="218"/>
    <cellStyle name="20% - Accent2" xfId="219"/>
    <cellStyle name="20% - Accent2 2" xfId="220"/>
    <cellStyle name="20% - Accent2 3" xfId="221"/>
    <cellStyle name="20% - Accent2_46EE.2011(v1.0)" xfId="222"/>
    <cellStyle name="20% - Accent3" xfId="223"/>
    <cellStyle name="20% - Accent3 2" xfId="224"/>
    <cellStyle name="20% - Accent3 3" xfId="225"/>
    <cellStyle name="20% - Accent3_46EE.2011(v1.0)" xfId="226"/>
    <cellStyle name="20% - Accent4" xfId="227"/>
    <cellStyle name="20% - Accent4 2" xfId="228"/>
    <cellStyle name="20% - Accent4 3" xfId="229"/>
    <cellStyle name="20% - Accent4_46EE.2011(v1.0)" xfId="230"/>
    <cellStyle name="20% - Accent5" xfId="231"/>
    <cellStyle name="20% - Accent5 2" xfId="232"/>
    <cellStyle name="20% - Accent5 3" xfId="233"/>
    <cellStyle name="20% - Accent5_46EE.2011(v1.0)" xfId="234"/>
    <cellStyle name="20% - Accent6" xfId="235"/>
    <cellStyle name="20% - Accent6 2" xfId="236"/>
    <cellStyle name="20% - Accent6 3" xfId="237"/>
    <cellStyle name="20% - Accent6_46EE.2011(v1.0)" xfId="238"/>
    <cellStyle name="20% - Акцент1 10" xfId="239"/>
    <cellStyle name="20% - Акцент1 2" xfId="240"/>
    <cellStyle name="20% - Акцент1 2 2" xfId="241"/>
    <cellStyle name="20% - Акцент1 2 3" xfId="242"/>
    <cellStyle name="20% - Акцент1 2_46EE.2011(v1.0)" xfId="243"/>
    <cellStyle name="20% - Акцент1 3" xfId="244"/>
    <cellStyle name="20% - Акцент1 3 2" xfId="245"/>
    <cellStyle name="20% - Акцент1 3 3" xfId="246"/>
    <cellStyle name="20% - Акцент1 3_46EE.2011(v1.0)" xfId="247"/>
    <cellStyle name="20% - Акцент1 4" xfId="248"/>
    <cellStyle name="20% - Акцент1 4 2" xfId="249"/>
    <cellStyle name="20% - Акцент1 4 3" xfId="250"/>
    <cellStyle name="20% - Акцент1 4_46EE.2011(v1.0)" xfId="251"/>
    <cellStyle name="20% - Акцент1 5" xfId="252"/>
    <cellStyle name="20% - Акцент1 5 2" xfId="253"/>
    <cellStyle name="20% - Акцент1 5 3" xfId="254"/>
    <cellStyle name="20% - Акцент1 5_46EE.2011(v1.0)" xfId="255"/>
    <cellStyle name="20% - Акцент1 6" xfId="256"/>
    <cellStyle name="20% - Акцент1 6 2" xfId="257"/>
    <cellStyle name="20% - Акцент1 6 3" xfId="258"/>
    <cellStyle name="20% - Акцент1 6_46EE.2011(v1.0)" xfId="259"/>
    <cellStyle name="20% - Акцент1 7" xfId="260"/>
    <cellStyle name="20% - Акцент1 7 2" xfId="261"/>
    <cellStyle name="20% - Акцент1 7 3" xfId="262"/>
    <cellStyle name="20% - Акцент1 7_46EE.2011(v1.0)" xfId="263"/>
    <cellStyle name="20% - Акцент1 8" xfId="264"/>
    <cellStyle name="20% - Акцент1 8 2" xfId="265"/>
    <cellStyle name="20% - Акцент1 8 3" xfId="266"/>
    <cellStyle name="20% - Акцент1 8_46EE.2011(v1.0)" xfId="267"/>
    <cellStyle name="20% - Акцент1 9" xfId="268"/>
    <cellStyle name="20% - Акцент1 9 2" xfId="269"/>
    <cellStyle name="20% - Акцент1 9 3" xfId="270"/>
    <cellStyle name="20% - Акцент1 9_46EE.2011(v1.0)" xfId="271"/>
    <cellStyle name="20% - Акцент2 10" xfId="272"/>
    <cellStyle name="20% - Акцент2 2" xfId="273"/>
    <cellStyle name="20% - Акцент2 2 2" xfId="274"/>
    <cellStyle name="20% - Акцент2 2 3" xfId="275"/>
    <cellStyle name="20% - Акцент2 2_46EE.2011(v1.0)" xfId="276"/>
    <cellStyle name="20% - Акцент2 3" xfId="277"/>
    <cellStyle name="20% - Акцент2 3 2" xfId="278"/>
    <cellStyle name="20% - Акцент2 3 3" xfId="279"/>
    <cellStyle name="20% - Акцент2 3_46EE.2011(v1.0)" xfId="280"/>
    <cellStyle name="20% - Акцент2 4" xfId="281"/>
    <cellStyle name="20% - Акцент2 4 2" xfId="282"/>
    <cellStyle name="20% - Акцент2 4 3" xfId="283"/>
    <cellStyle name="20% - Акцент2 4_46EE.2011(v1.0)" xfId="284"/>
    <cellStyle name="20% - Акцент2 5" xfId="285"/>
    <cellStyle name="20% - Акцент2 5 2" xfId="286"/>
    <cellStyle name="20% - Акцент2 5 3" xfId="287"/>
    <cellStyle name="20% - Акцент2 5_46EE.2011(v1.0)" xfId="288"/>
    <cellStyle name="20% - Акцент2 6" xfId="289"/>
    <cellStyle name="20% - Акцент2 6 2" xfId="290"/>
    <cellStyle name="20% - Акцент2 6 3" xfId="291"/>
    <cellStyle name="20% - Акцент2 6_46EE.2011(v1.0)" xfId="292"/>
    <cellStyle name="20% - Акцент2 7" xfId="293"/>
    <cellStyle name="20% - Акцент2 7 2" xfId="294"/>
    <cellStyle name="20% - Акцент2 7 3" xfId="295"/>
    <cellStyle name="20% - Акцент2 7_46EE.2011(v1.0)" xfId="296"/>
    <cellStyle name="20% - Акцент2 8" xfId="297"/>
    <cellStyle name="20% - Акцент2 8 2" xfId="298"/>
    <cellStyle name="20% - Акцент2 8 3" xfId="299"/>
    <cellStyle name="20% - Акцент2 8_46EE.2011(v1.0)" xfId="300"/>
    <cellStyle name="20% - Акцент2 9" xfId="301"/>
    <cellStyle name="20% - Акцент2 9 2" xfId="302"/>
    <cellStyle name="20% - Акцент2 9 3" xfId="303"/>
    <cellStyle name="20% - Акцент2 9_46EE.2011(v1.0)" xfId="304"/>
    <cellStyle name="20% - Акцент3 10" xfId="305"/>
    <cellStyle name="20% - Акцент3 2" xfId="306"/>
    <cellStyle name="20% - Акцент3 2 2" xfId="307"/>
    <cellStyle name="20% - Акцент3 2 3" xfId="308"/>
    <cellStyle name="20% - Акцент3 2_46EE.2011(v1.0)" xfId="309"/>
    <cellStyle name="20% - Акцент3 3" xfId="310"/>
    <cellStyle name="20% - Акцент3 3 2" xfId="311"/>
    <cellStyle name="20% - Акцент3 3 3" xfId="312"/>
    <cellStyle name="20% - Акцент3 3_46EE.2011(v1.0)" xfId="313"/>
    <cellStyle name="20% - Акцент3 4" xfId="314"/>
    <cellStyle name="20% - Акцент3 4 2" xfId="315"/>
    <cellStyle name="20% - Акцент3 4 3" xfId="316"/>
    <cellStyle name="20% - Акцент3 4_46EE.2011(v1.0)" xfId="317"/>
    <cellStyle name="20% - Акцент3 5" xfId="318"/>
    <cellStyle name="20% - Акцент3 5 2" xfId="319"/>
    <cellStyle name="20% - Акцент3 5 3" xfId="320"/>
    <cellStyle name="20% - Акцент3 5_46EE.2011(v1.0)" xfId="321"/>
    <cellStyle name="20% - Акцент3 6" xfId="322"/>
    <cellStyle name="20% - Акцент3 6 2" xfId="323"/>
    <cellStyle name="20% - Акцент3 6 3" xfId="324"/>
    <cellStyle name="20% - Акцент3 6_46EE.2011(v1.0)" xfId="325"/>
    <cellStyle name="20% - Акцент3 7" xfId="326"/>
    <cellStyle name="20% - Акцент3 7 2" xfId="327"/>
    <cellStyle name="20% - Акцент3 7 3" xfId="328"/>
    <cellStyle name="20% - Акцент3 7_46EE.2011(v1.0)" xfId="329"/>
    <cellStyle name="20% - Акцент3 8" xfId="330"/>
    <cellStyle name="20% - Акцент3 8 2" xfId="331"/>
    <cellStyle name="20% - Акцент3 8 3" xfId="332"/>
    <cellStyle name="20% - Акцент3 8_46EE.2011(v1.0)" xfId="333"/>
    <cellStyle name="20% - Акцент3 9" xfId="334"/>
    <cellStyle name="20% - Акцент3 9 2" xfId="335"/>
    <cellStyle name="20% - Акцент3 9 3" xfId="336"/>
    <cellStyle name="20% - Акцент3 9_46EE.2011(v1.0)" xfId="337"/>
    <cellStyle name="20% - Акцент4 10" xfId="338"/>
    <cellStyle name="20% - Акцент4 2" xfId="339"/>
    <cellStyle name="20% - Акцент4 2 2" xfId="340"/>
    <cellStyle name="20% - Акцент4 2 3" xfId="341"/>
    <cellStyle name="20% - Акцент4 2_46EE.2011(v1.0)" xfId="342"/>
    <cellStyle name="20% - Акцент4 3" xfId="343"/>
    <cellStyle name="20% - Акцент4 3 2" xfId="344"/>
    <cellStyle name="20% - Акцент4 3 3" xfId="345"/>
    <cellStyle name="20% - Акцент4 3_46EE.2011(v1.0)" xfId="346"/>
    <cellStyle name="20% - Акцент4 4" xfId="347"/>
    <cellStyle name="20% - Акцент4 4 2" xfId="348"/>
    <cellStyle name="20% - Акцент4 4 3" xfId="349"/>
    <cellStyle name="20% - Акцент4 4_46EE.2011(v1.0)" xfId="350"/>
    <cellStyle name="20% - Акцент4 5" xfId="351"/>
    <cellStyle name="20% - Акцент4 5 2" xfId="352"/>
    <cellStyle name="20% - Акцент4 5 3" xfId="353"/>
    <cellStyle name="20% - Акцент4 5_46EE.2011(v1.0)" xfId="354"/>
    <cellStyle name="20% - Акцент4 6" xfId="355"/>
    <cellStyle name="20% - Акцент4 6 2" xfId="356"/>
    <cellStyle name="20% - Акцент4 6 3" xfId="357"/>
    <cellStyle name="20% - Акцент4 6_46EE.2011(v1.0)" xfId="358"/>
    <cellStyle name="20% - Акцент4 7" xfId="359"/>
    <cellStyle name="20% - Акцент4 7 2" xfId="360"/>
    <cellStyle name="20% - Акцент4 7 3" xfId="361"/>
    <cellStyle name="20% - Акцент4 7_46EE.2011(v1.0)" xfId="362"/>
    <cellStyle name="20% - Акцент4 8" xfId="363"/>
    <cellStyle name="20% - Акцент4 8 2" xfId="364"/>
    <cellStyle name="20% - Акцент4 8 3" xfId="365"/>
    <cellStyle name="20% - Акцент4 8_46EE.2011(v1.0)" xfId="366"/>
    <cellStyle name="20% - Акцент4 9" xfId="367"/>
    <cellStyle name="20% - Акцент4 9 2" xfId="368"/>
    <cellStyle name="20% - Акцент4 9 3" xfId="369"/>
    <cellStyle name="20% - Акцент4 9_46EE.2011(v1.0)" xfId="370"/>
    <cellStyle name="20% - Акцент5 10" xfId="371"/>
    <cellStyle name="20% - Акцент5 2" xfId="372"/>
    <cellStyle name="20% - Акцент5 2 2" xfId="373"/>
    <cellStyle name="20% - Акцент5 2 3" xfId="374"/>
    <cellStyle name="20% - Акцент5 2_46EE.2011(v1.0)" xfId="375"/>
    <cellStyle name="20% - Акцент5 3" xfId="376"/>
    <cellStyle name="20% - Акцент5 3 2" xfId="377"/>
    <cellStyle name="20% - Акцент5 3 3" xfId="378"/>
    <cellStyle name="20% - Акцент5 3_46EE.2011(v1.0)" xfId="379"/>
    <cellStyle name="20% - Акцент5 4" xfId="380"/>
    <cellStyle name="20% - Акцент5 4 2" xfId="381"/>
    <cellStyle name="20% - Акцент5 4 3" xfId="382"/>
    <cellStyle name="20% - Акцент5 4_46EE.2011(v1.0)" xfId="383"/>
    <cellStyle name="20% - Акцент5 5" xfId="384"/>
    <cellStyle name="20% - Акцент5 5 2" xfId="385"/>
    <cellStyle name="20% - Акцент5 5 3" xfId="386"/>
    <cellStyle name="20% - Акцент5 5_46EE.2011(v1.0)" xfId="387"/>
    <cellStyle name="20% - Акцент5 6" xfId="388"/>
    <cellStyle name="20% - Акцент5 6 2" xfId="389"/>
    <cellStyle name="20% - Акцент5 6 3" xfId="390"/>
    <cellStyle name="20% - Акцент5 6_46EE.2011(v1.0)" xfId="391"/>
    <cellStyle name="20% - Акцент5 7" xfId="392"/>
    <cellStyle name="20% - Акцент5 7 2" xfId="393"/>
    <cellStyle name="20% - Акцент5 7 3" xfId="394"/>
    <cellStyle name="20% - Акцент5 7_46EE.2011(v1.0)" xfId="395"/>
    <cellStyle name="20% - Акцент5 8" xfId="396"/>
    <cellStyle name="20% - Акцент5 8 2" xfId="397"/>
    <cellStyle name="20% - Акцент5 8 3" xfId="398"/>
    <cellStyle name="20% - Акцент5 8_46EE.2011(v1.0)" xfId="399"/>
    <cellStyle name="20% - Акцент5 9" xfId="400"/>
    <cellStyle name="20% - Акцент5 9 2" xfId="401"/>
    <cellStyle name="20% - Акцент5 9 3" xfId="402"/>
    <cellStyle name="20% - Акцент5 9_46EE.2011(v1.0)" xfId="403"/>
    <cellStyle name="20% - Акцент6 10" xfId="404"/>
    <cellStyle name="20% - Акцент6 2" xfId="405"/>
    <cellStyle name="20% - Акцент6 2 2" xfId="406"/>
    <cellStyle name="20% - Акцент6 2 3" xfId="407"/>
    <cellStyle name="20% - Акцент6 2_46EE.2011(v1.0)" xfId="408"/>
    <cellStyle name="20% - Акцент6 3" xfId="409"/>
    <cellStyle name="20% - Акцент6 3 2" xfId="410"/>
    <cellStyle name="20% - Акцент6 3 3" xfId="411"/>
    <cellStyle name="20% - Акцент6 3_46EE.2011(v1.0)" xfId="412"/>
    <cellStyle name="20% - Акцент6 4" xfId="413"/>
    <cellStyle name="20% - Акцент6 4 2" xfId="414"/>
    <cellStyle name="20% - Акцент6 4 3" xfId="415"/>
    <cellStyle name="20% - Акцент6 4_46EE.2011(v1.0)" xfId="416"/>
    <cellStyle name="20% - Акцент6 5" xfId="417"/>
    <cellStyle name="20% - Акцент6 5 2" xfId="418"/>
    <cellStyle name="20% - Акцент6 5 3" xfId="419"/>
    <cellStyle name="20% - Акцент6 5_46EE.2011(v1.0)" xfId="420"/>
    <cellStyle name="20% - Акцент6 6" xfId="421"/>
    <cellStyle name="20% - Акцент6 6 2" xfId="422"/>
    <cellStyle name="20% - Акцент6 6 3" xfId="423"/>
    <cellStyle name="20% - Акцент6 6_46EE.2011(v1.0)" xfId="424"/>
    <cellStyle name="20% - Акцент6 7" xfId="425"/>
    <cellStyle name="20% - Акцент6 7 2" xfId="426"/>
    <cellStyle name="20% - Акцент6 7 3" xfId="427"/>
    <cellStyle name="20% - Акцент6 7_46EE.2011(v1.0)" xfId="428"/>
    <cellStyle name="20% - Акцент6 8" xfId="429"/>
    <cellStyle name="20% - Акцент6 8 2" xfId="430"/>
    <cellStyle name="20% - Акцент6 8 3" xfId="431"/>
    <cellStyle name="20% - Акцент6 8_46EE.2011(v1.0)" xfId="432"/>
    <cellStyle name="20% - Акцент6 9" xfId="433"/>
    <cellStyle name="20% - Акцент6 9 2" xfId="434"/>
    <cellStyle name="20% - Акцент6 9 3" xfId="435"/>
    <cellStyle name="20% - Акцент6 9_46EE.2011(v1.0)" xfId="436"/>
    <cellStyle name="40% - Accent1" xfId="437"/>
    <cellStyle name="40% - Accent1 2" xfId="438"/>
    <cellStyle name="40% - Accent1 3" xfId="439"/>
    <cellStyle name="40% - Accent1_46EE.2011(v1.0)" xfId="440"/>
    <cellStyle name="40% - Accent2" xfId="441"/>
    <cellStyle name="40% - Accent2 2" xfId="442"/>
    <cellStyle name="40% - Accent2 3" xfId="443"/>
    <cellStyle name="40% - Accent2_46EE.2011(v1.0)" xfId="444"/>
    <cellStyle name="40% - Accent3" xfId="445"/>
    <cellStyle name="40% - Accent3 2" xfId="446"/>
    <cellStyle name="40% - Accent3 3" xfId="447"/>
    <cellStyle name="40% - Accent3_46EE.2011(v1.0)" xfId="448"/>
    <cellStyle name="40% - Accent4" xfId="449"/>
    <cellStyle name="40% - Accent4 2" xfId="450"/>
    <cellStyle name="40% - Accent4 3" xfId="451"/>
    <cellStyle name="40% - Accent4_46EE.2011(v1.0)" xfId="452"/>
    <cellStyle name="40% - Accent5" xfId="453"/>
    <cellStyle name="40% - Accent5 2" xfId="454"/>
    <cellStyle name="40% - Accent5 3" xfId="455"/>
    <cellStyle name="40% - Accent5_46EE.2011(v1.0)" xfId="456"/>
    <cellStyle name="40% - Accent6" xfId="457"/>
    <cellStyle name="40% - Accent6 2" xfId="458"/>
    <cellStyle name="40% - Accent6 3" xfId="459"/>
    <cellStyle name="40% - Accent6_46EE.2011(v1.0)" xfId="460"/>
    <cellStyle name="40% - Акцент1 10" xfId="461"/>
    <cellStyle name="40% - Акцент1 2" xfId="462"/>
    <cellStyle name="40% - Акцент1 2 2" xfId="463"/>
    <cellStyle name="40% - Акцент1 2 3" xfId="464"/>
    <cellStyle name="40% - Акцент1 2_46EE.2011(v1.0)" xfId="465"/>
    <cellStyle name="40% - Акцент1 3" xfId="466"/>
    <cellStyle name="40% - Акцент1 3 2" xfId="467"/>
    <cellStyle name="40% - Акцент1 3 3" xfId="468"/>
    <cellStyle name="40% - Акцент1 3_46EE.2011(v1.0)" xfId="469"/>
    <cellStyle name="40% - Акцент1 4" xfId="470"/>
    <cellStyle name="40% - Акцент1 4 2" xfId="471"/>
    <cellStyle name="40% - Акцент1 4 3" xfId="472"/>
    <cellStyle name="40% - Акцент1 4_46EE.2011(v1.0)" xfId="473"/>
    <cellStyle name="40% - Акцент1 5" xfId="474"/>
    <cellStyle name="40% - Акцент1 5 2" xfId="475"/>
    <cellStyle name="40% - Акцент1 5 3" xfId="476"/>
    <cellStyle name="40% - Акцент1 5_46EE.2011(v1.0)" xfId="477"/>
    <cellStyle name="40% - Акцент1 6" xfId="478"/>
    <cellStyle name="40% - Акцент1 6 2" xfId="479"/>
    <cellStyle name="40% - Акцент1 6 3" xfId="480"/>
    <cellStyle name="40% - Акцент1 6_46EE.2011(v1.0)" xfId="481"/>
    <cellStyle name="40% - Акцент1 7" xfId="482"/>
    <cellStyle name="40% - Акцент1 7 2" xfId="483"/>
    <cellStyle name="40% - Акцент1 7 3" xfId="484"/>
    <cellStyle name="40% - Акцент1 7_46EE.2011(v1.0)" xfId="485"/>
    <cellStyle name="40% - Акцент1 8" xfId="486"/>
    <cellStyle name="40% - Акцент1 8 2" xfId="487"/>
    <cellStyle name="40% - Акцент1 8 3" xfId="488"/>
    <cellStyle name="40% - Акцент1 8_46EE.2011(v1.0)" xfId="489"/>
    <cellStyle name="40% - Акцент1 9" xfId="490"/>
    <cellStyle name="40% - Акцент1 9 2" xfId="491"/>
    <cellStyle name="40% - Акцент1 9 3" xfId="492"/>
    <cellStyle name="40% - Акцент1 9_46EE.2011(v1.0)" xfId="493"/>
    <cellStyle name="40% - Акцент2 10" xfId="494"/>
    <cellStyle name="40% - Акцент2 2" xfId="495"/>
    <cellStyle name="40% - Акцент2 2 2" xfId="496"/>
    <cellStyle name="40% - Акцент2 2 3" xfId="497"/>
    <cellStyle name="40% - Акцент2 2_46EE.2011(v1.0)" xfId="498"/>
    <cellStyle name="40% - Акцент2 3" xfId="499"/>
    <cellStyle name="40% - Акцент2 3 2" xfId="500"/>
    <cellStyle name="40% - Акцент2 3 3" xfId="501"/>
    <cellStyle name="40% - Акцент2 3_46EE.2011(v1.0)" xfId="502"/>
    <cellStyle name="40% - Акцент2 4" xfId="503"/>
    <cellStyle name="40% - Акцент2 4 2" xfId="504"/>
    <cellStyle name="40% - Акцент2 4 3" xfId="505"/>
    <cellStyle name="40% - Акцент2 4_46EE.2011(v1.0)" xfId="506"/>
    <cellStyle name="40% - Акцент2 5" xfId="507"/>
    <cellStyle name="40% - Акцент2 5 2" xfId="508"/>
    <cellStyle name="40% - Акцент2 5 3" xfId="509"/>
    <cellStyle name="40% - Акцент2 5_46EE.2011(v1.0)" xfId="510"/>
    <cellStyle name="40% - Акцент2 6" xfId="511"/>
    <cellStyle name="40% - Акцент2 6 2" xfId="512"/>
    <cellStyle name="40% - Акцент2 6 3" xfId="513"/>
    <cellStyle name="40% - Акцент2 6_46EE.2011(v1.0)" xfId="514"/>
    <cellStyle name="40% - Акцент2 7" xfId="515"/>
    <cellStyle name="40% - Акцент2 7 2" xfId="516"/>
    <cellStyle name="40% - Акцент2 7 3" xfId="517"/>
    <cellStyle name="40% - Акцент2 7_46EE.2011(v1.0)" xfId="518"/>
    <cellStyle name="40% - Акцент2 8" xfId="519"/>
    <cellStyle name="40% - Акцент2 8 2" xfId="520"/>
    <cellStyle name="40% - Акцент2 8 3" xfId="521"/>
    <cellStyle name="40% - Акцент2 8_46EE.2011(v1.0)" xfId="522"/>
    <cellStyle name="40% - Акцент2 9" xfId="523"/>
    <cellStyle name="40% - Акцент2 9 2" xfId="524"/>
    <cellStyle name="40% - Акцент2 9 3" xfId="525"/>
    <cellStyle name="40% - Акцент2 9_46EE.2011(v1.0)" xfId="526"/>
    <cellStyle name="40% - Акцент3 10" xfId="527"/>
    <cellStyle name="40% - Акцент3 2" xfId="528"/>
    <cellStyle name="40% - Акцент3 2 2" xfId="529"/>
    <cellStyle name="40% - Акцент3 2 3" xfId="530"/>
    <cellStyle name="40% - Акцент3 2_46EE.2011(v1.0)" xfId="531"/>
    <cellStyle name="40% - Акцент3 3" xfId="532"/>
    <cellStyle name="40% - Акцент3 3 2" xfId="533"/>
    <cellStyle name="40% - Акцент3 3 3" xfId="534"/>
    <cellStyle name="40% - Акцент3 3_46EE.2011(v1.0)" xfId="535"/>
    <cellStyle name="40% - Акцент3 4" xfId="536"/>
    <cellStyle name="40% - Акцент3 4 2" xfId="537"/>
    <cellStyle name="40% - Акцент3 4 3" xfId="538"/>
    <cellStyle name="40% - Акцент3 4_46EE.2011(v1.0)" xfId="539"/>
    <cellStyle name="40% - Акцент3 5" xfId="540"/>
    <cellStyle name="40% - Акцент3 5 2" xfId="541"/>
    <cellStyle name="40% - Акцент3 5 3" xfId="542"/>
    <cellStyle name="40% - Акцент3 5_46EE.2011(v1.0)" xfId="543"/>
    <cellStyle name="40% - Акцент3 6" xfId="544"/>
    <cellStyle name="40% - Акцент3 6 2" xfId="545"/>
    <cellStyle name="40% - Акцент3 6 3" xfId="546"/>
    <cellStyle name="40% - Акцент3 6_46EE.2011(v1.0)" xfId="547"/>
    <cellStyle name="40% - Акцент3 7" xfId="548"/>
    <cellStyle name="40% - Акцент3 7 2" xfId="549"/>
    <cellStyle name="40% - Акцент3 7 3" xfId="550"/>
    <cellStyle name="40% - Акцент3 7_46EE.2011(v1.0)" xfId="551"/>
    <cellStyle name="40% - Акцент3 8" xfId="552"/>
    <cellStyle name="40% - Акцент3 8 2" xfId="553"/>
    <cellStyle name="40% - Акцент3 8 3" xfId="554"/>
    <cellStyle name="40% - Акцент3 8_46EE.2011(v1.0)" xfId="555"/>
    <cellStyle name="40% - Акцент3 9" xfId="556"/>
    <cellStyle name="40% - Акцент3 9 2" xfId="557"/>
    <cellStyle name="40% - Акцент3 9 3" xfId="558"/>
    <cellStyle name="40% - Акцент3 9_46EE.2011(v1.0)" xfId="559"/>
    <cellStyle name="40% - Акцент4 10" xfId="560"/>
    <cellStyle name="40% - Акцент4 2" xfId="561"/>
    <cellStyle name="40% - Акцент4 2 2" xfId="562"/>
    <cellStyle name="40% - Акцент4 2 3" xfId="563"/>
    <cellStyle name="40% - Акцент4 2_46EE.2011(v1.0)" xfId="564"/>
    <cellStyle name="40% - Акцент4 3" xfId="565"/>
    <cellStyle name="40% - Акцент4 3 2" xfId="566"/>
    <cellStyle name="40% - Акцент4 3 3" xfId="567"/>
    <cellStyle name="40% - Акцент4 3_46EE.2011(v1.0)" xfId="568"/>
    <cellStyle name="40% - Акцент4 4" xfId="569"/>
    <cellStyle name="40% - Акцент4 4 2" xfId="570"/>
    <cellStyle name="40% - Акцент4 4 3" xfId="571"/>
    <cellStyle name="40% - Акцент4 4_46EE.2011(v1.0)" xfId="572"/>
    <cellStyle name="40% - Акцент4 5" xfId="573"/>
    <cellStyle name="40% - Акцент4 5 2" xfId="574"/>
    <cellStyle name="40% - Акцент4 5 3" xfId="575"/>
    <cellStyle name="40% - Акцент4 5_46EE.2011(v1.0)" xfId="576"/>
    <cellStyle name="40% - Акцент4 6" xfId="577"/>
    <cellStyle name="40% - Акцент4 6 2" xfId="578"/>
    <cellStyle name="40% - Акцент4 6 3" xfId="579"/>
    <cellStyle name="40% - Акцент4 6_46EE.2011(v1.0)" xfId="580"/>
    <cellStyle name="40% - Акцент4 7" xfId="581"/>
    <cellStyle name="40% - Акцент4 7 2" xfId="582"/>
    <cellStyle name="40% - Акцент4 7 3" xfId="583"/>
    <cellStyle name="40% - Акцент4 7_46EE.2011(v1.0)" xfId="584"/>
    <cellStyle name="40% - Акцент4 8" xfId="585"/>
    <cellStyle name="40% - Акцент4 8 2" xfId="586"/>
    <cellStyle name="40% - Акцент4 8 3" xfId="587"/>
    <cellStyle name="40% - Акцент4 8_46EE.2011(v1.0)" xfId="588"/>
    <cellStyle name="40% - Акцент4 9" xfId="589"/>
    <cellStyle name="40% - Акцент4 9 2" xfId="590"/>
    <cellStyle name="40% - Акцент4 9 3" xfId="591"/>
    <cellStyle name="40% - Акцент4 9_46EE.2011(v1.0)" xfId="592"/>
    <cellStyle name="40% - Акцент5 10" xfId="593"/>
    <cellStyle name="40% - Акцент5 2" xfId="594"/>
    <cellStyle name="40% - Акцент5 2 2" xfId="595"/>
    <cellStyle name="40% - Акцент5 2 3" xfId="596"/>
    <cellStyle name="40% - Акцент5 2_46EE.2011(v1.0)" xfId="597"/>
    <cellStyle name="40% - Акцент5 3" xfId="598"/>
    <cellStyle name="40% - Акцент5 3 2" xfId="599"/>
    <cellStyle name="40% - Акцент5 3 3" xfId="600"/>
    <cellStyle name="40% - Акцент5 3_46EE.2011(v1.0)" xfId="601"/>
    <cellStyle name="40% - Акцент5 4" xfId="602"/>
    <cellStyle name="40% - Акцент5 4 2" xfId="603"/>
    <cellStyle name="40% - Акцент5 4 3" xfId="604"/>
    <cellStyle name="40% - Акцент5 4_46EE.2011(v1.0)" xfId="605"/>
    <cellStyle name="40% - Акцент5 5" xfId="606"/>
    <cellStyle name="40% - Акцент5 5 2" xfId="607"/>
    <cellStyle name="40% - Акцент5 5 3" xfId="608"/>
    <cellStyle name="40% - Акцент5 5_46EE.2011(v1.0)" xfId="609"/>
    <cellStyle name="40% - Акцент5 6" xfId="610"/>
    <cellStyle name="40% - Акцент5 6 2" xfId="611"/>
    <cellStyle name="40% - Акцент5 6 3" xfId="612"/>
    <cellStyle name="40% - Акцент5 6_46EE.2011(v1.0)" xfId="613"/>
    <cellStyle name="40% - Акцент5 7" xfId="614"/>
    <cellStyle name="40% - Акцент5 7 2" xfId="615"/>
    <cellStyle name="40% - Акцент5 7 3" xfId="616"/>
    <cellStyle name="40% - Акцент5 7_46EE.2011(v1.0)" xfId="617"/>
    <cellStyle name="40% - Акцент5 8" xfId="618"/>
    <cellStyle name="40% - Акцент5 8 2" xfId="619"/>
    <cellStyle name="40% - Акцент5 8 3" xfId="620"/>
    <cellStyle name="40% - Акцент5 8_46EE.2011(v1.0)" xfId="621"/>
    <cellStyle name="40% - Акцент5 9" xfId="622"/>
    <cellStyle name="40% - Акцент5 9 2" xfId="623"/>
    <cellStyle name="40% - Акцент5 9 3" xfId="624"/>
    <cellStyle name="40% - Акцент5 9_46EE.2011(v1.0)" xfId="625"/>
    <cellStyle name="40% - Акцент6 10" xfId="626"/>
    <cellStyle name="40% - Акцент6 2" xfId="627"/>
    <cellStyle name="40% - Акцент6 2 2" xfId="628"/>
    <cellStyle name="40% - Акцент6 2 3" xfId="629"/>
    <cellStyle name="40% - Акцент6 2_46EE.2011(v1.0)" xfId="630"/>
    <cellStyle name="40% - Акцент6 3" xfId="631"/>
    <cellStyle name="40% - Акцент6 3 2" xfId="632"/>
    <cellStyle name="40% - Акцент6 3 3" xfId="633"/>
    <cellStyle name="40% - Акцент6 3_46EE.2011(v1.0)" xfId="634"/>
    <cellStyle name="40% - Акцент6 4" xfId="635"/>
    <cellStyle name="40% - Акцент6 4 2" xfId="636"/>
    <cellStyle name="40% - Акцент6 4 3" xfId="637"/>
    <cellStyle name="40% - Акцент6 4_46EE.2011(v1.0)" xfId="638"/>
    <cellStyle name="40% - Акцент6 5" xfId="639"/>
    <cellStyle name="40% - Акцент6 5 2" xfId="640"/>
    <cellStyle name="40% - Акцент6 5 3" xfId="641"/>
    <cellStyle name="40% - Акцент6 5_46EE.2011(v1.0)" xfId="642"/>
    <cellStyle name="40% - Акцент6 6" xfId="643"/>
    <cellStyle name="40% - Акцент6 6 2" xfId="644"/>
    <cellStyle name="40% - Акцент6 6 3" xfId="645"/>
    <cellStyle name="40% - Акцент6 6_46EE.2011(v1.0)" xfId="646"/>
    <cellStyle name="40% - Акцент6 7" xfId="647"/>
    <cellStyle name="40% - Акцент6 7 2" xfId="648"/>
    <cellStyle name="40% - Акцент6 7 3" xfId="649"/>
    <cellStyle name="40% - Акцент6 7_46EE.2011(v1.0)" xfId="650"/>
    <cellStyle name="40% - Акцент6 8" xfId="651"/>
    <cellStyle name="40% - Акцент6 8 2" xfId="652"/>
    <cellStyle name="40% - Акцент6 8 3" xfId="653"/>
    <cellStyle name="40% - Акцент6 8_46EE.2011(v1.0)" xfId="654"/>
    <cellStyle name="40% - Акцент6 9" xfId="655"/>
    <cellStyle name="40% - Акцент6 9 2" xfId="656"/>
    <cellStyle name="40% - Акцент6 9 3" xfId="657"/>
    <cellStyle name="40% - Акцент6 9_46EE.2011(v1.0)" xfId="658"/>
    <cellStyle name="60% - Accent1" xfId="659"/>
    <cellStyle name="60% - Accent2" xfId="660"/>
    <cellStyle name="60% - Accent3" xfId="661"/>
    <cellStyle name="60% - Accent4" xfId="662"/>
    <cellStyle name="60% - Accent5" xfId="663"/>
    <cellStyle name="60% - Accent6" xfId="664"/>
    <cellStyle name="60% - Акцент1 2" xfId="665"/>
    <cellStyle name="60% - Акцент1 2 2" xfId="666"/>
    <cellStyle name="60% - Акцент1 3" xfId="667"/>
    <cellStyle name="60% - Акцент1 3 2" xfId="668"/>
    <cellStyle name="60% - Акцент1 4" xfId="669"/>
    <cellStyle name="60% - Акцент1 4 2" xfId="670"/>
    <cellStyle name="60% - Акцент1 5" xfId="671"/>
    <cellStyle name="60% - Акцент1 5 2" xfId="672"/>
    <cellStyle name="60% - Акцент1 6" xfId="673"/>
    <cellStyle name="60% - Акцент1 6 2" xfId="674"/>
    <cellStyle name="60% - Акцент1 7" xfId="675"/>
    <cellStyle name="60% - Акцент1 7 2" xfId="676"/>
    <cellStyle name="60% - Акцент1 8" xfId="677"/>
    <cellStyle name="60% - Акцент1 8 2" xfId="678"/>
    <cellStyle name="60% - Акцент1 9" xfId="679"/>
    <cellStyle name="60% - Акцент1 9 2" xfId="680"/>
    <cellStyle name="60% - Акцент2 2" xfId="681"/>
    <cellStyle name="60% - Акцент2 2 2" xfId="682"/>
    <cellStyle name="60% - Акцент2 3" xfId="683"/>
    <cellStyle name="60% - Акцент2 3 2" xfId="684"/>
    <cellStyle name="60% - Акцент2 4" xfId="685"/>
    <cellStyle name="60% - Акцент2 4 2" xfId="686"/>
    <cellStyle name="60% - Акцент2 5" xfId="687"/>
    <cellStyle name="60% - Акцент2 5 2" xfId="688"/>
    <cellStyle name="60% - Акцент2 6" xfId="689"/>
    <cellStyle name="60% - Акцент2 6 2" xfId="690"/>
    <cellStyle name="60% - Акцент2 7" xfId="691"/>
    <cellStyle name="60% - Акцент2 7 2" xfId="692"/>
    <cellStyle name="60% - Акцент2 8" xfId="693"/>
    <cellStyle name="60% - Акцент2 8 2" xfId="694"/>
    <cellStyle name="60% - Акцент2 9" xfId="695"/>
    <cellStyle name="60% - Акцент2 9 2" xfId="696"/>
    <cellStyle name="60% - Акцент3 2" xfId="697"/>
    <cellStyle name="60% - Акцент3 2 2" xfId="698"/>
    <cellStyle name="60% - Акцент3 3" xfId="699"/>
    <cellStyle name="60% - Акцент3 3 2" xfId="700"/>
    <cellStyle name="60% - Акцент3 4" xfId="701"/>
    <cellStyle name="60% - Акцент3 4 2" xfId="702"/>
    <cellStyle name="60% - Акцент3 5" xfId="703"/>
    <cellStyle name="60% - Акцент3 5 2" xfId="704"/>
    <cellStyle name="60% - Акцент3 6" xfId="705"/>
    <cellStyle name="60% - Акцент3 6 2" xfId="706"/>
    <cellStyle name="60% - Акцент3 7" xfId="707"/>
    <cellStyle name="60% - Акцент3 7 2" xfId="708"/>
    <cellStyle name="60% - Акцент3 8" xfId="709"/>
    <cellStyle name="60% - Акцент3 8 2" xfId="710"/>
    <cellStyle name="60% - Акцент3 9" xfId="711"/>
    <cellStyle name="60% - Акцент3 9 2" xfId="712"/>
    <cellStyle name="60% - Акцент4 2" xfId="713"/>
    <cellStyle name="60% - Акцент4 2 2" xfId="714"/>
    <cellStyle name="60% - Акцент4 3" xfId="715"/>
    <cellStyle name="60% - Акцент4 3 2" xfId="716"/>
    <cellStyle name="60% - Акцент4 4" xfId="717"/>
    <cellStyle name="60% - Акцент4 4 2" xfId="718"/>
    <cellStyle name="60% - Акцент4 5" xfId="719"/>
    <cellStyle name="60% - Акцент4 5 2" xfId="720"/>
    <cellStyle name="60% - Акцент4 6" xfId="721"/>
    <cellStyle name="60% - Акцент4 6 2" xfId="722"/>
    <cellStyle name="60% - Акцент4 7" xfId="723"/>
    <cellStyle name="60% - Акцент4 7 2" xfId="724"/>
    <cellStyle name="60% - Акцент4 8" xfId="725"/>
    <cellStyle name="60% - Акцент4 8 2" xfId="726"/>
    <cellStyle name="60% - Акцент4 9" xfId="727"/>
    <cellStyle name="60% - Акцент4 9 2" xfId="728"/>
    <cellStyle name="60% - Акцент5 2" xfId="729"/>
    <cellStyle name="60% - Акцент5 2 2" xfId="730"/>
    <cellStyle name="60% - Акцент5 3" xfId="731"/>
    <cellStyle name="60% - Акцент5 3 2" xfId="732"/>
    <cellStyle name="60% - Акцент5 4" xfId="733"/>
    <cellStyle name="60% - Акцент5 4 2" xfId="734"/>
    <cellStyle name="60% - Акцент5 5" xfId="735"/>
    <cellStyle name="60% - Акцент5 5 2" xfId="736"/>
    <cellStyle name="60% - Акцент5 6" xfId="737"/>
    <cellStyle name="60% - Акцент5 6 2" xfId="738"/>
    <cellStyle name="60% - Акцент5 7" xfId="739"/>
    <cellStyle name="60% - Акцент5 7 2" xfId="740"/>
    <cellStyle name="60% - Акцент5 8" xfId="741"/>
    <cellStyle name="60% - Акцент5 8 2" xfId="742"/>
    <cellStyle name="60% - Акцент5 9" xfId="743"/>
    <cellStyle name="60% - Акцент5 9 2" xfId="744"/>
    <cellStyle name="60% - Акцент6 2" xfId="745"/>
    <cellStyle name="60% - Акцент6 2 2" xfId="746"/>
    <cellStyle name="60% - Акцент6 3" xfId="747"/>
    <cellStyle name="60% - Акцент6 3 2" xfId="748"/>
    <cellStyle name="60% - Акцент6 4" xfId="749"/>
    <cellStyle name="60% - Акцент6 4 2" xfId="750"/>
    <cellStyle name="60% - Акцент6 5" xfId="751"/>
    <cellStyle name="60% - Акцент6 5 2" xfId="752"/>
    <cellStyle name="60% - Акцент6 6" xfId="753"/>
    <cellStyle name="60% - Акцент6 6 2" xfId="754"/>
    <cellStyle name="60% - Акцент6 7" xfId="755"/>
    <cellStyle name="60% - Акцент6 7 2" xfId="756"/>
    <cellStyle name="60% - Акцент6 8" xfId="757"/>
    <cellStyle name="60% - Акцент6 8 2" xfId="758"/>
    <cellStyle name="60% - Акцент6 9" xfId="759"/>
    <cellStyle name="60% - Акцент6 9 2" xfId="760"/>
    <cellStyle name="Accent1" xfId="761"/>
    <cellStyle name="Accent2" xfId="762"/>
    <cellStyle name="Accent3" xfId="763"/>
    <cellStyle name="Accent4" xfId="764"/>
    <cellStyle name="Accent5" xfId="765"/>
    <cellStyle name="Accent6" xfId="766"/>
    <cellStyle name="Ăčďĺđńńűëęŕ" xfId="767"/>
    <cellStyle name="AFE" xfId="768"/>
    <cellStyle name="Áĺççŕůčňíűé" xfId="769"/>
    <cellStyle name="Äĺíĺćíűé [0]_(ňŕá 3č)" xfId="770"/>
    <cellStyle name="Äĺíĺćíűé_(ňŕá 3č)" xfId="771"/>
    <cellStyle name="Bad" xfId="772"/>
    <cellStyle name="Blue" xfId="773"/>
    <cellStyle name="Body_$Dollars" xfId="774"/>
    <cellStyle name="Calculation" xfId="775"/>
    <cellStyle name="Check Cell" xfId="776"/>
    <cellStyle name="Chek" xfId="777"/>
    <cellStyle name="Comma [0]_Adjusted FS 1299" xfId="778"/>
    <cellStyle name="Comma 0" xfId="779"/>
    <cellStyle name="Comma 0*" xfId="780"/>
    <cellStyle name="Comma 2" xfId="781"/>
    <cellStyle name="Comma 3*" xfId="782"/>
    <cellStyle name="Comma_Adjusted FS 1299" xfId="783"/>
    <cellStyle name="Comma0" xfId="784"/>
    <cellStyle name="Çŕůčňíűé" xfId="785"/>
    <cellStyle name="Currency [0]" xfId="786"/>
    <cellStyle name="Currency [0] 2" xfId="787"/>
    <cellStyle name="Currency [0] 2 2" xfId="788"/>
    <cellStyle name="Currency [0] 2 3" xfId="789"/>
    <cellStyle name="Currency [0] 2 4" xfId="790"/>
    <cellStyle name="Currency [0] 2 5" xfId="791"/>
    <cellStyle name="Currency [0] 2 6" xfId="792"/>
    <cellStyle name="Currency [0] 2 7" xfId="793"/>
    <cellStyle name="Currency [0] 2 8" xfId="794"/>
    <cellStyle name="Currency [0] 2 9" xfId="795"/>
    <cellStyle name="Currency [0] 3" xfId="796"/>
    <cellStyle name="Currency [0] 3 2" xfId="797"/>
    <cellStyle name="Currency [0] 3 3" xfId="798"/>
    <cellStyle name="Currency [0] 3 4" xfId="799"/>
    <cellStyle name="Currency [0] 3 5" xfId="800"/>
    <cellStyle name="Currency [0] 3 6" xfId="801"/>
    <cellStyle name="Currency [0] 3 7" xfId="802"/>
    <cellStyle name="Currency [0] 3 8" xfId="803"/>
    <cellStyle name="Currency [0] 3 9" xfId="804"/>
    <cellStyle name="Currency [0] 4" xfId="805"/>
    <cellStyle name="Currency [0] 4 2" xfId="806"/>
    <cellStyle name="Currency [0] 4 3" xfId="807"/>
    <cellStyle name="Currency [0] 4 4" xfId="808"/>
    <cellStyle name="Currency [0] 4 5" xfId="809"/>
    <cellStyle name="Currency [0] 4 6" xfId="810"/>
    <cellStyle name="Currency [0] 4 7" xfId="811"/>
    <cellStyle name="Currency [0] 4 8" xfId="812"/>
    <cellStyle name="Currency [0] 4 9" xfId="813"/>
    <cellStyle name="Currency [0] 5" xfId="814"/>
    <cellStyle name="Currency [0] 5 2" xfId="815"/>
    <cellStyle name="Currency [0] 5 3" xfId="816"/>
    <cellStyle name="Currency [0] 5 4" xfId="817"/>
    <cellStyle name="Currency [0] 5 5" xfId="818"/>
    <cellStyle name="Currency [0] 5 6" xfId="819"/>
    <cellStyle name="Currency [0] 5 7" xfId="820"/>
    <cellStyle name="Currency [0] 5 8" xfId="821"/>
    <cellStyle name="Currency [0] 5 9" xfId="822"/>
    <cellStyle name="Currency [0] 6" xfId="823"/>
    <cellStyle name="Currency [0] 6 2" xfId="824"/>
    <cellStyle name="Currency [0] 6 3" xfId="825"/>
    <cellStyle name="Currency [0] 7" xfId="826"/>
    <cellStyle name="Currency [0] 7 2" xfId="827"/>
    <cellStyle name="Currency [0] 7 3" xfId="828"/>
    <cellStyle name="Currency [0] 8" xfId="829"/>
    <cellStyle name="Currency [0] 8 2" xfId="830"/>
    <cellStyle name="Currency [0] 8 3" xfId="831"/>
    <cellStyle name="Currency 0" xfId="832"/>
    <cellStyle name="Currency 2" xfId="833"/>
    <cellStyle name="Currency_06_9m" xfId="834"/>
    <cellStyle name="Currency0" xfId="835"/>
    <cellStyle name="Currency2" xfId="836"/>
    <cellStyle name="Date" xfId="837"/>
    <cellStyle name="Date Aligned" xfId="838"/>
    <cellStyle name="Dates" xfId="839"/>
    <cellStyle name="Dezimal [0]_NEGS" xfId="840"/>
    <cellStyle name="Dezimal_NEGS" xfId="841"/>
    <cellStyle name="Dotted Line" xfId="842"/>
    <cellStyle name="E&amp;Y House" xfId="843"/>
    <cellStyle name="E-mail" xfId="844"/>
    <cellStyle name="E-mail 2" xfId="845"/>
    <cellStyle name="E-mail_ARMRAZR" xfId="846"/>
    <cellStyle name="Euro" xfId="847"/>
    <cellStyle name="ew" xfId="848"/>
    <cellStyle name="Explanatory Text" xfId="849"/>
    <cellStyle name="F2" xfId="850"/>
    <cellStyle name="F3" xfId="851"/>
    <cellStyle name="F4" xfId="852"/>
    <cellStyle name="F5" xfId="853"/>
    <cellStyle name="F6" xfId="854"/>
    <cellStyle name="F7" xfId="855"/>
    <cellStyle name="F8" xfId="856"/>
    <cellStyle name="Fixed" xfId="857"/>
    <cellStyle name="fo]_x000d__x000a_UserName=Murat Zelef_x000d__x000a_UserCompany=Bumerang_x000d__x000a__x000d__x000a_[File Paths]_x000d__x000a_WorkingDirectory=C:\EQUIS\DLWIN_x000d__x000a_DownLoader=C" xfId="858"/>
    <cellStyle name="Followed Hyperlink" xfId="859"/>
    <cellStyle name="Footnote" xfId="860"/>
    <cellStyle name="Good" xfId="861"/>
    <cellStyle name="hard no" xfId="862"/>
    <cellStyle name="Hard Percent" xfId="863"/>
    <cellStyle name="hardno" xfId="864"/>
    <cellStyle name="Header" xfId="865"/>
    <cellStyle name="Heading" xfId="866"/>
    <cellStyle name="Heading 1" xfId="867"/>
    <cellStyle name="Heading 2" xfId="868"/>
    <cellStyle name="Heading 3" xfId="869"/>
    <cellStyle name="Heading 4" xfId="870"/>
    <cellStyle name="Heading_GP.ITOG.4.78(v1.0) - для разделения" xfId="871"/>
    <cellStyle name="Heading2" xfId="872"/>
    <cellStyle name="Heading2 2" xfId="873"/>
    <cellStyle name="Heading2_ARMRAZR" xfId="874"/>
    <cellStyle name="Hyperlink" xfId="875"/>
    <cellStyle name="Îáű÷íűé__FES" xfId="876"/>
    <cellStyle name="Îáû÷íûé_cogs" xfId="877"/>
    <cellStyle name="Îňęđűâŕâřŕ˙ń˙ ăčďĺđńńűëęŕ" xfId="878"/>
    <cellStyle name="Info" xfId="879"/>
    <cellStyle name="Input" xfId="880"/>
    <cellStyle name="InputCurrency" xfId="881"/>
    <cellStyle name="InputCurrency2" xfId="882"/>
    <cellStyle name="InputMultiple1" xfId="883"/>
    <cellStyle name="InputPercent1" xfId="884"/>
    <cellStyle name="Inputs" xfId="885"/>
    <cellStyle name="Inputs (const)" xfId="886"/>
    <cellStyle name="Inputs (const) 2" xfId="887"/>
    <cellStyle name="Inputs (const)_ARMRAZR" xfId="888"/>
    <cellStyle name="Inputs 2" xfId="889"/>
    <cellStyle name="Inputs Co" xfId="890"/>
    <cellStyle name="Inputs_46EE.2011(v1.0)" xfId="891"/>
    <cellStyle name="Linked Cell" xfId="892"/>
    <cellStyle name="Millares [0]_RESULTS" xfId="893"/>
    <cellStyle name="Millares_RESULTS" xfId="894"/>
    <cellStyle name="Milliers [0]_RESULTS" xfId="895"/>
    <cellStyle name="Milliers_RESULTS" xfId="896"/>
    <cellStyle name="mnb" xfId="897"/>
    <cellStyle name="Moneda [0]_RESULTS" xfId="898"/>
    <cellStyle name="Moneda_RESULTS" xfId="899"/>
    <cellStyle name="Monétaire [0]_RESULTS" xfId="900"/>
    <cellStyle name="Monétaire_RESULTS" xfId="901"/>
    <cellStyle name="Multiple" xfId="902"/>
    <cellStyle name="Multiple1" xfId="903"/>
    <cellStyle name="MultipleBelow" xfId="904"/>
    <cellStyle name="namber" xfId="905"/>
    <cellStyle name="Neutral" xfId="906"/>
    <cellStyle name="Norma11l" xfId="907"/>
    <cellStyle name="normal" xfId="908"/>
    <cellStyle name="Normal - Style1" xfId="909"/>
    <cellStyle name="normal 10" xfId="910"/>
    <cellStyle name="Normal 2" xfId="911"/>
    <cellStyle name="Normal 2 2" xfId="912"/>
    <cellStyle name="Normal 2 3" xfId="913"/>
    <cellStyle name="normal 3" xfId="914"/>
    <cellStyle name="normal 4" xfId="915"/>
    <cellStyle name="normal 5" xfId="916"/>
    <cellStyle name="normal 6" xfId="917"/>
    <cellStyle name="normal 7" xfId="918"/>
    <cellStyle name="normal 8" xfId="919"/>
    <cellStyle name="normal 9" xfId="920"/>
    <cellStyle name="Normal." xfId="921"/>
    <cellStyle name="Normal_06_9m" xfId="922"/>
    <cellStyle name="Normal1" xfId="923"/>
    <cellStyle name="Normal2" xfId="924"/>
    <cellStyle name="NormalGB" xfId="925"/>
    <cellStyle name="Normalny_24. 02. 97." xfId="926"/>
    <cellStyle name="normбlnм_laroux" xfId="927"/>
    <cellStyle name="Note" xfId="928"/>
    <cellStyle name="number" xfId="929"/>
    <cellStyle name="Ôčíŕíńîâűé [0]_(ňŕá 3č)" xfId="930"/>
    <cellStyle name="Ôčíŕíńîâűé_(ňŕá 3č)" xfId="931"/>
    <cellStyle name="Option" xfId="932"/>
    <cellStyle name="Òûñÿ÷è [0]_cogs" xfId="933"/>
    <cellStyle name="Òûñÿ÷è_cogs" xfId="934"/>
    <cellStyle name="Output" xfId="935"/>
    <cellStyle name="Page Number" xfId="936"/>
    <cellStyle name="pb_page_heading_LS" xfId="937"/>
    <cellStyle name="Percent_RS_Lianozovo-Samara_9m01" xfId="938"/>
    <cellStyle name="Percent1" xfId="939"/>
    <cellStyle name="Piug" xfId="940"/>
    <cellStyle name="Plug" xfId="941"/>
    <cellStyle name="Price_Body" xfId="942"/>
    <cellStyle name="prochrek" xfId="943"/>
    <cellStyle name="Protected" xfId="944"/>
    <cellStyle name="Salomon Logo" xfId="945"/>
    <cellStyle name="SAPBEXaggData" xfId="946"/>
    <cellStyle name="SAPBEXaggDataEmph" xfId="947"/>
    <cellStyle name="SAPBEXaggItem" xfId="948"/>
    <cellStyle name="SAPBEXaggItemX" xfId="949"/>
    <cellStyle name="SAPBEXchaText" xfId="950"/>
    <cellStyle name="SAPBEXexcBad7" xfId="951"/>
    <cellStyle name="SAPBEXexcBad8" xfId="952"/>
    <cellStyle name="SAPBEXexcBad9" xfId="953"/>
    <cellStyle name="SAPBEXexcCritical4" xfId="954"/>
    <cellStyle name="SAPBEXexcCritical5" xfId="955"/>
    <cellStyle name="SAPBEXexcCritical6" xfId="956"/>
    <cellStyle name="SAPBEXexcGood1" xfId="957"/>
    <cellStyle name="SAPBEXexcGood2" xfId="958"/>
    <cellStyle name="SAPBEXexcGood3" xfId="959"/>
    <cellStyle name="SAPBEXfilterDrill" xfId="960"/>
    <cellStyle name="SAPBEXfilterItem" xfId="961"/>
    <cellStyle name="SAPBEXfilterText" xfId="962"/>
    <cellStyle name="SAPBEXformats" xfId="963"/>
    <cellStyle name="SAPBEXheaderItem" xfId="964"/>
    <cellStyle name="SAPBEXheaderText" xfId="965"/>
    <cellStyle name="SAPBEXHLevel0" xfId="966"/>
    <cellStyle name="SAPBEXHLevel0X" xfId="967"/>
    <cellStyle name="SAPBEXHLevel1" xfId="968"/>
    <cellStyle name="SAPBEXHLevel1X" xfId="969"/>
    <cellStyle name="SAPBEXHLevel2" xfId="970"/>
    <cellStyle name="SAPBEXHLevel2X" xfId="971"/>
    <cellStyle name="SAPBEXHLevel3" xfId="972"/>
    <cellStyle name="SAPBEXHLevel3X" xfId="973"/>
    <cellStyle name="SAPBEXinputData" xfId="974"/>
    <cellStyle name="SAPBEXresData" xfId="975"/>
    <cellStyle name="SAPBEXresDataEmph" xfId="976"/>
    <cellStyle name="SAPBEXresItem" xfId="977"/>
    <cellStyle name="SAPBEXresItemX" xfId="978"/>
    <cellStyle name="SAPBEXstdData" xfId="979"/>
    <cellStyle name="SAPBEXstdDataEmph" xfId="980"/>
    <cellStyle name="SAPBEXstdItem" xfId="981"/>
    <cellStyle name="SAPBEXstdItemX" xfId="982"/>
    <cellStyle name="SAPBEXtitle" xfId="983"/>
    <cellStyle name="SAPBEXundefined" xfId="984"/>
    <cellStyle name="st1" xfId="985"/>
    <cellStyle name="Standard_NEGS" xfId="986"/>
    <cellStyle name="Style 1" xfId="987"/>
    <cellStyle name="Table Head" xfId="988"/>
    <cellStyle name="Table Head Aligned" xfId="989"/>
    <cellStyle name="Table Head Blue" xfId="990"/>
    <cellStyle name="Table Head Green" xfId="991"/>
    <cellStyle name="Table Head_Val_Sum_Graph" xfId="992"/>
    <cellStyle name="Table Heading" xfId="993"/>
    <cellStyle name="Table Heading 2" xfId="994"/>
    <cellStyle name="Table Heading_ARMRAZR" xfId="995"/>
    <cellStyle name="Table Text" xfId="996"/>
    <cellStyle name="Table Title" xfId="997"/>
    <cellStyle name="Table Units" xfId="998"/>
    <cellStyle name="Table_Header" xfId="999"/>
    <cellStyle name="Text" xfId="1000"/>
    <cellStyle name="Text 1" xfId="1001"/>
    <cellStyle name="Text Head" xfId="1002"/>
    <cellStyle name="Text Head 1" xfId="1003"/>
    <cellStyle name="Title" xfId="1004"/>
    <cellStyle name="Total" xfId="1005"/>
    <cellStyle name="TotalCurrency" xfId="1006"/>
    <cellStyle name="Underline_Single" xfId="1007"/>
    <cellStyle name="Unit" xfId="1008"/>
    <cellStyle name="Warning Text" xfId="1009"/>
    <cellStyle name="year" xfId="1010"/>
    <cellStyle name="Акцент1 2" xfId="1011"/>
    <cellStyle name="Акцент1 2 2" xfId="1012"/>
    <cellStyle name="Акцент1 3" xfId="1013"/>
    <cellStyle name="Акцент1 3 2" xfId="1014"/>
    <cellStyle name="Акцент1 4" xfId="1015"/>
    <cellStyle name="Акцент1 4 2" xfId="1016"/>
    <cellStyle name="Акцент1 5" xfId="1017"/>
    <cellStyle name="Акцент1 5 2" xfId="1018"/>
    <cellStyle name="Акцент1 6" xfId="1019"/>
    <cellStyle name="Акцент1 6 2" xfId="1020"/>
    <cellStyle name="Акцент1 7" xfId="1021"/>
    <cellStyle name="Акцент1 7 2" xfId="1022"/>
    <cellStyle name="Акцент1 8" xfId="1023"/>
    <cellStyle name="Акцент1 8 2" xfId="1024"/>
    <cellStyle name="Акцент1 9" xfId="1025"/>
    <cellStyle name="Акцент1 9 2" xfId="1026"/>
    <cellStyle name="Акцент2 2" xfId="1027"/>
    <cellStyle name="Акцент2 2 2" xfId="1028"/>
    <cellStyle name="Акцент2 3" xfId="1029"/>
    <cellStyle name="Акцент2 3 2" xfId="1030"/>
    <cellStyle name="Акцент2 4" xfId="1031"/>
    <cellStyle name="Акцент2 4 2" xfId="1032"/>
    <cellStyle name="Акцент2 5" xfId="1033"/>
    <cellStyle name="Акцент2 5 2" xfId="1034"/>
    <cellStyle name="Акцент2 6" xfId="1035"/>
    <cellStyle name="Акцент2 6 2" xfId="1036"/>
    <cellStyle name="Акцент2 7" xfId="1037"/>
    <cellStyle name="Акцент2 7 2" xfId="1038"/>
    <cellStyle name="Акцент2 8" xfId="1039"/>
    <cellStyle name="Акцент2 8 2" xfId="1040"/>
    <cellStyle name="Акцент2 9" xfId="1041"/>
    <cellStyle name="Акцент2 9 2" xfId="1042"/>
    <cellStyle name="Акцент3 2" xfId="1043"/>
    <cellStyle name="Акцент3 2 2" xfId="1044"/>
    <cellStyle name="Акцент3 3" xfId="1045"/>
    <cellStyle name="Акцент3 3 2" xfId="1046"/>
    <cellStyle name="Акцент3 4" xfId="1047"/>
    <cellStyle name="Акцент3 4 2" xfId="1048"/>
    <cellStyle name="Акцент3 5" xfId="1049"/>
    <cellStyle name="Акцент3 5 2" xfId="1050"/>
    <cellStyle name="Акцент3 6" xfId="1051"/>
    <cellStyle name="Акцент3 6 2" xfId="1052"/>
    <cellStyle name="Акцент3 7" xfId="1053"/>
    <cellStyle name="Акцент3 7 2" xfId="1054"/>
    <cellStyle name="Акцент3 8" xfId="1055"/>
    <cellStyle name="Акцент3 8 2" xfId="1056"/>
    <cellStyle name="Акцент3 9" xfId="1057"/>
    <cellStyle name="Акцент3 9 2" xfId="1058"/>
    <cellStyle name="Акцент4 2" xfId="1059"/>
    <cellStyle name="Акцент4 2 2" xfId="1060"/>
    <cellStyle name="Акцент4 3" xfId="1061"/>
    <cellStyle name="Акцент4 3 2" xfId="1062"/>
    <cellStyle name="Акцент4 4" xfId="1063"/>
    <cellStyle name="Акцент4 4 2" xfId="1064"/>
    <cellStyle name="Акцент4 5" xfId="1065"/>
    <cellStyle name="Акцент4 5 2" xfId="1066"/>
    <cellStyle name="Акцент4 6" xfId="1067"/>
    <cellStyle name="Акцент4 6 2" xfId="1068"/>
    <cellStyle name="Акцент4 7" xfId="1069"/>
    <cellStyle name="Акцент4 7 2" xfId="1070"/>
    <cellStyle name="Акцент4 8" xfId="1071"/>
    <cellStyle name="Акцент4 8 2" xfId="1072"/>
    <cellStyle name="Акцент4 9" xfId="1073"/>
    <cellStyle name="Акцент4 9 2" xfId="1074"/>
    <cellStyle name="Акцент5 2" xfId="1075"/>
    <cellStyle name="Акцент5 2 2" xfId="1076"/>
    <cellStyle name="Акцент5 3" xfId="1077"/>
    <cellStyle name="Акцент5 3 2" xfId="1078"/>
    <cellStyle name="Акцент5 4" xfId="1079"/>
    <cellStyle name="Акцент5 4 2" xfId="1080"/>
    <cellStyle name="Акцент5 5" xfId="1081"/>
    <cellStyle name="Акцент5 5 2" xfId="1082"/>
    <cellStyle name="Акцент5 6" xfId="1083"/>
    <cellStyle name="Акцент5 6 2" xfId="1084"/>
    <cellStyle name="Акцент5 7" xfId="1085"/>
    <cellStyle name="Акцент5 7 2" xfId="1086"/>
    <cellStyle name="Акцент5 8" xfId="1087"/>
    <cellStyle name="Акцент5 8 2" xfId="1088"/>
    <cellStyle name="Акцент5 9" xfId="1089"/>
    <cellStyle name="Акцент5 9 2" xfId="1090"/>
    <cellStyle name="Акцент6 2" xfId="1091"/>
    <cellStyle name="Акцент6 2 2" xfId="1092"/>
    <cellStyle name="Акцент6 3" xfId="1093"/>
    <cellStyle name="Акцент6 3 2" xfId="1094"/>
    <cellStyle name="Акцент6 4" xfId="1095"/>
    <cellStyle name="Акцент6 4 2" xfId="1096"/>
    <cellStyle name="Акцент6 5" xfId="1097"/>
    <cellStyle name="Акцент6 5 2" xfId="1098"/>
    <cellStyle name="Акцент6 6" xfId="1099"/>
    <cellStyle name="Акцент6 6 2" xfId="1100"/>
    <cellStyle name="Акцент6 7" xfId="1101"/>
    <cellStyle name="Акцент6 7 2" xfId="1102"/>
    <cellStyle name="Акцент6 8" xfId="1103"/>
    <cellStyle name="Акцент6 8 2" xfId="1104"/>
    <cellStyle name="Акцент6 9" xfId="1105"/>
    <cellStyle name="Акцент6 9 2" xfId="1106"/>
    <cellStyle name="Беззащитный" xfId="1107"/>
    <cellStyle name="Ввод  2" xfId="1108"/>
    <cellStyle name="Ввод  2 2" xfId="1109"/>
    <cellStyle name="Ввод  2_46EE.2011(v1.0)" xfId="1110"/>
    <cellStyle name="Ввод  3" xfId="1111"/>
    <cellStyle name="Ввод  3 2" xfId="1112"/>
    <cellStyle name="Ввод  3_46EE.2011(v1.0)" xfId="1113"/>
    <cellStyle name="Ввод  4" xfId="1114"/>
    <cellStyle name="Ввод  4 2" xfId="1115"/>
    <cellStyle name="Ввод  4_46EE.2011(v1.0)" xfId="1116"/>
    <cellStyle name="Ввод  5" xfId="1117"/>
    <cellStyle name="Ввод  5 2" xfId="1118"/>
    <cellStyle name="Ввод  5_46EE.2011(v1.0)" xfId="1119"/>
    <cellStyle name="Ввод  6" xfId="1120"/>
    <cellStyle name="Ввод  6 2" xfId="1121"/>
    <cellStyle name="Ввод  6_46EE.2011(v1.0)" xfId="1122"/>
    <cellStyle name="Ввод  7" xfId="1123"/>
    <cellStyle name="Ввод  7 2" xfId="1124"/>
    <cellStyle name="Ввод  7_46EE.2011(v1.0)" xfId="1125"/>
    <cellStyle name="Ввод  8" xfId="1126"/>
    <cellStyle name="Ввод  8 2" xfId="1127"/>
    <cellStyle name="Ввод  8_46EE.2011(v1.0)" xfId="1128"/>
    <cellStyle name="Ввод  9" xfId="1129"/>
    <cellStyle name="Ввод  9 2" xfId="1130"/>
    <cellStyle name="Ввод  9_46EE.2011(v1.0)" xfId="1131"/>
    <cellStyle name="Верт. заголовок" xfId="1132"/>
    <cellStyle name="Вес_продукта" xfId="1133"/>
    <cellStyle name="Вывод 2" xfId="1134"/>
    <cellStyle name="Вывод 2 2" xfId="1135"/>
    <cellStyle name="Вывод 2_46EE.2011(v1.0)" xfId="1136"/>
    <cellStyle name="Вывод 3" xfId="1137"/>
    <cellStyle name="Вывод 3 2" xfId="1138"/>
    <cellStyle name="Вывод 3_46EE.2011(v1.0)" xfId="1139"/>
    <cellStyle name="Вывод 4" xfId="1140"/>
    <cellStyle name="Вывод 4 2" xfId="1141"/>
    <cellStyle name="Вывод 4_46EE.2011(v1.0)" xfId="1142"/>
    <cellStyle name="Вывод 5" xfId="1143"/>
    <cellStyle name="Вывод 5 2" xfId="1144"/>
    <cellStyle name="Вывод 5_46EE.2011(v1.0)" xfId="1145"/>
    <cellStyle name="Вывод 6" xfId="1146"/>
    <cellStyle name="Вывод 6 2" xfId="1147"/>
    <cellStyle name="Вывод 6_46EE.2011(v1.0)" xfId="1148"/>
    <cellStyle name="Вывод 7" xfId="1149"/>
    <cellStyle name="Вывод 7 2" xfId="1150"/>
    <cellStyle name="Вывод 7_46EE.2011(v1.0)" xfId="1151"/>
    <cellStyle name="Вывод 8" xfId="1152"/>
    <cellStyle name="Вывод 8 2" xfId="1153"/>
    <cellStyle name="Вывод 8_46EE.2011(v1.0)" xfId="1154"/>
    <cellStyle name="Вывод 9" xfId="1155"/>
    <cellStyle name="Вывод 9 2" xfId="1156"/>
    <cellStyle name="Вывод 9_46EE.2011(v1.0)" xfId="1157"/>
    <cellStyle name="Вычисление 2" xfId="1158"/>
    <cellStyle name="Вычисление 2 2" xfId="1159"/>
    <cellStyle name="Вычисление 2_46EE.2011(v1.0)" xfId="1160"/>
    <cellStyle name="Вычисление 3" xfId="1161"/>
    <cellStyle name="Вычисление 3 2" xfId="1162"/>
    <cellStyle name="Вычисление 3_46EE.2011(v1.0)" xfId="1163"/>
    <cellStyle name="Вычисление 4" xfId="1164"/>
    <cellStyle name="Вычисление 4 2" xfId="1165"/>
    <cellStyle name="Вычисление 4_46EE.2011(v1.0)" xfId="1166"/>
    <cellStyle name="Вычисление 5" xfId="1167"/>
    <cellStyle name="Вычисление 5 2" xfId="1168"/>
    <cellStyle name="Вычисление 5_46EE.2011(v1.0)" xfId="1169"/>
    <cellStyle name="Вычисление 6" xfId="1170"/>
    <cellStyle name="Вычисление 6 2" xfId="1171"/>
    <cellStyle name="Вычисление 6_46EE.2011(v1.0)" xfId="1172"/>
    <cellStyle name="Вычисление 7" xfId="1173"/>
    <cellStyle name="Вычисление 7 2" xfId="1174"/>
    <cellStyle name="Вычисление 7_46EE.2011(v1.0)" xfId="1175"/>
    <cellStyle name="Вычисление 8" xfId="1176"/>
    <cellStyle name="Вычисление 8 2" xfId="1177"/>
    <cellStyle name="Вычисление 8_46EE.2011(v1.0)" xfId="1178"/>
    <cellStyle name="Вычисление 9" xfId="1179"/>
    <cellStyle name="Вычисление 9 2" xfId="1180"/>
    <cellStyle name="Вычисление 9_46EE.2011(v1.0)" xfId="1181"/>
    <cellStyle name="Гиперссылка" xfId="1182" builtinId="8"/>
    <cellStyle name="Гиперссылка 2" xfId="1183"/>
    <cellStyle name="Гиперссылка 3" xfId="1184"/>
    <cellStyle name="Гиперссылка_69450110" xfId="1185"/>
    <cellStyle name="Группа" xfId="1186"/>
    <cellStyle name="Группа 0" xfId="1187"/>
    <cellStyle name="Группа 1" xfId="1188"/>
    <cellStyle name="Группа 2" xfId="1189"/>
    <cellStyle name="Группа 3" xfId="1190"/>
    <cellStyle name="Группа 4" xfId="1191"/>
    <cellStyle name="Группа 5" xfId="1192"/>
    <cellStyle name="Группа 6" xfId="1193"/>
    <cellStyle name="Группа 7" xfId="1194"/>
    <cellStyle name="Группа 8" xfId="1195"/>
    <cellStyle name="Группа_additional slides_04.12.03 _1" xfId="1196"/>
    <cellStyle name="ДАТА" xfId="1197"/>
    <cellStyle name="ДАТА 2" xfId="1198"/>
    <cellStyle name="ДАТА 3" xfId="1199"/>
    <cellStyle name="ДАТА 4" xfId="1200"/>
    <cellStyle name="ДАТА 5" xfId="1201"/>
    <cellStyle name="ДАТА 6" xfId="1202"/>
    <cellStyle name="ДАТА 7" xfId="1203"/>
    <cellStyle name="ДАТА 8" xfId="1204"/>
    <cellStyle name="ДАТА 9" xfId="1205"/>
    <cellStyle name="ДАТА_1" xfId="1206"/>
    <cellStyle name="Денежный 2" xfId="1207"/>
    <cellStyle name="Денежный 2 2" xfId="1208"/>
    <cellStyle name="Денежный 2_OREP.KU.2011.MONTHLY.02(v0.1)" xfId="1209"/>
    <cellStyle name="Заголовок" xfId="1210"/>
    <cellStyle name="Заголовок 1 2" xfId="1211"/>
    <cellStyle name="Заголовок 1 2 2" xfId="1212"/>
    <cellStyle name="Заголовок 1 2_46EE.2011(v1.0)" xfId="1213"/>
    <cellStyle name="Заголовок 1 3" xfId="1214"/>
    <cellStyle name="Заголовок 1 3 2" xfId="1215"/>
    <cellStyle name="Заголовок 1 3_46EE.2011(v1.0)" xfId="1216"/>
    <cellStyle name="Заголовок 1 4" xfId="1217"/>
    <cellStyle name="Заголовок 1 4 2" xfId="1218"/>
    <cellStyle name="Заголовок 1 4_46EE.2011(v1.0)" xfId="1219"/>
    <cellStyle name="Заголовок 1 5" xfId="1220"/>
    <cellStyle name="Заголовок 1 5 2" xfId="1221"/>
    <cellStyle name="Заголовок 1 5_46EE.2011(v1.0)" xfId="1222"/>
    <cellStyle name="Заголовок 1 6" xfId="1223"/>
    <cellStyle name="Заголовок 1 6 2" xfId="1224"/>
    <cellStyle name="Заголовок 1 6_46EE.2011(v1.0)" xfId="1225"/>
    <cellStyle name="Заголовок 1 7" xfId="1226"/>
    <cellStyle name="Заголовок 1 7 2" xfId="1227"/>
    <cellStyle name="Заголовок 1 7_46EE.2011(v1.0)" xfId="1228"/>
    <cellStyle name="Заголовок 1 8" xfId="1229"/>
    <cellStyle name="Заголовок 1 8 2" xfId="1230"/>
    <cellStyle name="Заголовок 1 8_46EE.2011(v1.0)" xfId="1231"/>
    <cellStyle name="Заголовок 1 9" xfId="1232"/>
    <cellStyle name="Заголовок 1 9 2" xfId="1233"/>
    <cellStyle name="Заголовок 1 9_46EE.2011(v1.0)" xfId="1234"/>
    <cellStyle name="Заголовок 2 2" xfId="1235"/>
    <cellStyle name="Заголовок 2 2 2" xfId="1236"/>
    <cellStyle name="Заголовок 2 2_46EE.2011(v1.0)" xfId="1237"/>
    <cellStyle name="Заголовок 2 3" xfId="1238"/>
    <cellStyle name="Заголовок 2 3 2" xfId="1239"/>
    <cellStyle name="Заголовок 2 3_46EE.2011(v1.0)" xfId="1240"/>
    <cellStyle name="Заголовок 2 4" xfId="1241"/>
    <cellStyle name="Заголовок 2 4 2" xfId="1242"/>
    <cellStyle name="Заголовок 2 4_46EE.2011(v1.0)" xfId="1243"/>
    <cellStyle name="Заголовок 2 5" xfId="1244"/>
    <cellStyle name="Заголовок 2 5 2" xfId="1245"/>
    <cellStyle name="Заголовок 2 5_46EE.2011(v1.0)" xfId="1246"/>
    <cellStyle name="Заголовок 2 6" xfId="1247"/>
    <cellStyle name="Заголовок 2 6 2" xfId="1248"/>
    <cellStyle name="Заголовок 2 6_46EE.2011(v1.0)" xfId="1249"/>
    <cellStyle name="Заголовок 2 7" xfId="1250"/>
    <cellStyle name="Заголовок 2 7 2" xfId="1251"/>
    <cellStyle name="Заголовок 2 7_46EE.2011(v1.0)" xfId="1252"/>
    <cellStyle name="Заголовок 2 8" xfId="1253"/>
    <cellStyle name="Заголовок 2 8 2" xfId="1254"/>
    <cellStyle name="Заголовок 2 8_46EE.2011(v1.0)" xfId="1255"/>
    <cellStyle name="Заголовок 2 9" xfId="1256"/>
    <cellStyle name="Заголовок 2 9 2" xfId="1257"/>
    <cellStyle name="Заголовок 2 9_46EE.2011(v1.0)" xfId="1258"/>
    <cellStyle name="Заголовок 3 2" xfId="1259"/>
    <cellStyle name="Заголовок 3 2 2" xfId="1260"/>
    <cellStyle name="Заголовок 3 2_46EE.2011(v1.0)" xfId="1261"/>
    <cellStyle name="Заголовок 3 3" xfId="1262"/>
    <cellStyle name="Заголовок 3 3 2" xfId="1263"/>
    <cellStyle name="Заголовок 3 3_46EE.2011(v1.0)" xfId="1264"/>
    <cellStyle name="Заголовок 3 4" xfId="1265"/>
    <cellStyle name="Заголовок 3 4 2" xfId="1266"/>
    <cellStyle name="Заголовок 3 4_46EE.2011(v1.0)" xfId="1267"/>
    <cellStyle name="Заголовок 3 5" xfId="1268"/>
    <cellStyle name="Заголовок 3 5 2" xfId="1269"/>
    <cellStyle name="Заголовок 3 5_46EE.2011(v1.0)" xfId="1270"/>
    <cellStyle name="Заголовок 3 6" xfId="1271"/>
    <cellStyle name="Заголовок 3 6 2" xfId="1272"/>
    <cellStyle name="Заголовок 3 6_46EE.2011(v1.0)" xfId="1273"/>
    <cellStyle name="Заголовок 3 7" xfId="1274"/>
    <cellStyle name="Заголовок 3 7 2" xfId="1275"/>
    <cellStyle name="Заголовок 3 7_46EE.2011(v1.0)" xfId="1276"/>
    <cellStyle name="Заголовок 3 8" xfId="1277"/>
    <cellStyle name="Заголовок 3 8 2" xfId="1278"/>
    <cellStyle name="Заголовок 3 8_46EE.2011(v1.0)" xfId="1279"/>
    <cellStyle name="Заголовок 3 9" xfId="1280"/>
    <cellStyle name="Заголовок 3 9 2" xfId="1281"/>
    <cellStyle name="Заголовок 3 9_46EE.2011(v1.0)" xfId="1282"/>
    <cellStyle name="Заголовок 4 2" xfId="1283"/>
    <cellStyle name="Заголовок 4 2 2" xfId="1284"/>
    <cellStyle name="Заголовок 4 3" xfId="1285"/>
    <cellStyle name="Заголовок 4 3 2" xfId="1286"/>
    <cellStyle name="Заголовок 4 4" xfId="1287"/>
    <cellStyle name="Заголовок 4 4 2" xfId="1288"/>
    <cellStyle name="Заголовок 4 5" xfId="1289"/>
    <cellStyle name="Заголовок 4 5 2" xfId="1290"/>
    <cellStyle name="Заголовок 4 6" xfId="1291"/>
    <cellStyle name="Заголовок 4 6 2" xfId="1292"/>
    <cellStyle name="Заголовок 4 7" xfId="1293"/>
    <cellStyle name="Заголовок 4 7 2" xfId="1294"/>
    <cellStyle name="Заголовок 4 8" xfId="1295"/>
    <cellStyle name="Заголовок 4 8 2" xfId="1296"/>
    <cellStyle name="Заголовок 4 9" xfId="1297"/>
    <cellStyle name="Заголовок 4 9 2" xfId="1298"/>
    <cellStyle name="ЗАГОЛОВОК1" xfId="1299"/>
    <cellStyle name="ЗАГОЛОВОК2" xfId="1300"/>
    <cellStyle name="ЗаголовокСтолбца" xfId="1301"/>
    <cellStyle name="Защитный" xfId="1302"/>
    <cellStyle name="Значение" xfId="1303"/>
    <cellStyle name="Зоголовок" xfId="1304"/>
    <cellStyle name="Итог 2" xfId="1305"/>
    <cellStyle name="Итог 2 2" xfId="1306"/>
    <cellStyle name="Итог 2_46EE.2011(v1.0)" xfId="1307"/>
    <cellStyle name="Итог 3" xfId="1308"/>
    <cellStyle name="Итог 3 2" xfId="1309"/>
    <cellStyle name="Итог 3_46EE.2011(v1.0)" xfId="1310"/>
    <cellStyle name="Итог 4" xfId="1311"/>
    <cellStyle name="Итог 4 2" xfId="1312"/>
    <cellStyle name="Итог 4_46EE.2011(v1.0)" xfId="1313"/>
    <cellStyle name="Итог 5" xfId="1314"/>
    <cellStyle name="Итог 5 2" xfId="1315"/>
    <cellStyle name="Итог 5_46EE.2011(v1.0)" xfId="1316"/>
    <cellStyle name="Итог 6" xfId="1317"/>
    <cellStyle name="Итог 6 2" xfId="1318"/>
    <cellStyle name="Итог 6_46EE.2011(v1.0)" xfId="1319"/>
    <cellStyle name="Итог 7" xfId="1320"/>
    <cellStyle name="Итог 7 2" xfId="1321"/>
    <cellStyle name="Итог 7_46EE.2011(v1.0)" xfId="1322"/>
    <cellStyle name="Итог 8" xfId="1323"/>
    <cellStyle name="Итог 8 2" xfId="1324"/>
    <cellStyle name="Итог 8_46EE.2011(v1.0)" xfId="1325"/>
    <cellStyle name="Итог 9" xfId="1326"/>
    <cellStyle name="Итог 9 2" xfId="1327"/>
    <cellStyle name="Итог 9_46EE.2011(v1.0)" xfId="1328"/>
    <cellStyle name="Итого" xfId="1329"/>
    <cellStyle name="ИТОГОВЫЙ" xfId="1330"/>
    <cellStyle name="ИТОГОВЫЙ 2" xfId="1331"/>
    <cellStyle name="ИТОГОВЫЙ 3" xfId="1332"/>
    <cellStyle name="ИТОГОВЫЙ 4" xfId="1333"/>
    <cellStyle name="ИТОГОВЫЙ 5" xfId="1334"/>
    <cellStyle name="ИТОГОВЫЙ 6" xfId="1335"/>
    <cellStyle name="ИТОГОВЫЙ 7" xfId="1336"/>
    <cellStyle name="ИТОГОВЫЙ 8" xfId="1337"/>
    <cellStyle name="ИТОГОВЫЙ 9" xfId="1338"/>
    <cellStyle name="ИТОГОВЫЙ_1" xfId="1339"/>
    <cellStyle name="Контрольная ячейка 2" xfId="1340"/>
    <cellStyle name="Контрольная ячейка 2 2" xfId="1341"/>
    <cellStyle name="Контрольная ячейка 2_46EE.2011(v1.0)" xfId="1342"/>
    <cellStyle name="Контрольная ячейка 3" xfId="1343"/>
    <cellStyle name="Контрольная ячейка 3 2" xfId="1344"/>
    <cellStyle name="Контрольная ячейка 3_46EE.2011(v1.0)" xfId="1345"/>
    <cellStyle name="Контрольная ячейка 4" xfId="1346"/>
    <cellStyle name="Контрольная ячейка 4 2" xfId="1347"/>
    <cellStyle name="Контрольная ячейка 4_46EE.2011(v1.0)" xfId="1348"/>
    <cellStyle name="Контрольная ячейка 5" xfId="1349"/>
    <cellStyle name="Контрольная ячейка 5 2" xfId="1350"/>
    <cellStyle name="Контрольная ячейка 5_46EE.2011(v1.0)" xfId="1351"/>
    <cellStyle name="Контрольная ячейка 6" xfId="1352"/>
    <cellStyle name="Контрольная ячейка 6 2" xfId="1353"/>
    <cellStyle name="Контрольная ячейка 6_46EE.2011(v1.0)" xfId="1354"/>
    <cellStyle name="Контрольная ячейка 7" xfId="1355"/>
    <cellStyle name="Контрольная ячейка 7 2" xfId="1356"/>
    <cellStyle name="Контрольная ячейка 7_46EE.2011(v1.0)" xfId="1357"/>
    <cellStyle name="Контрольная ячейка 8" xfId="1358"/>
    <cellStyle name="Контрольная ячейка 8 2" xfId="1359"/>
    <cellStyle name="Контрольная ячейка 8_46EE.2011(v1.0)" xfId="1360"/>
    <cellStyle name="Контрольная ячейка 9" xfId="1361"/>
    <cellStyle name="Контрольная ячейка 9 2" xfId="1362"/>
    <cellStyle name="Контрольная ячейка 9_46EE.2011(v1.0)" xfId="1363"/>
    <cellStyle name="Миша (бланки отчетности)" xfId="1364"/>
    <cellStyle name="Мои наименования показателей" xfId="1365"/>
    <cellStyle name="Мои наименования показателей 2" xfId="1366"/>
    <cellStyle name="Мои наименования показателей 2 2" xfId="1367"/>
    <cellStyle name="Мои наименования показателей 2 3" xfId="1368"/>
    <cellStyle name="Мои наименования показателей 2 4" xfId="1369"/>
    <cellStyle name="Мои наименования показателей 2 5" xfId="1370"/>
    <cellStyle name="Мои наименования показателей 2 6" xfId="1371"/>
    <cellStyle name="Мои наименования показателей 2 7" xfId="1372"/>
    <cellStyle name="Мои наименования показателей 2 8" xfId="1373"/>
    <cellStyle name="Мои наименования показателей 2 9" xfId="1374"/>
    <cellStyle name="Мои наименования показателей 2_1" xfId="1375"/>
    <cellStyle name="Мои наименования показателей 3" xfId="1376"/>
    <cellStyle name="Мои наименования показателей 3 2" xfId="1377"/>
    <cellStyle name="Мои наименования показателей 3 3" xfId="1378"/>
    <cellStyle name="Мои наименования показателей 3 4" xfId="1379"/>
    <cellStyle name="Мои наименования показателей 3 5" xfId="1380"/>
    <cellStyle name="Мои наименования показателей 3 6" xfId="1381"/>
    <cellStyle name="Мои наименования показателей 3 7" xfId="1382"/>
    <cellStyle name="Мои наименования показателей 3 8" xfId="1383"/>
    <cellStyle name="Мои наименования показателей 3 9" xfId="1384"/>
    <cellStyle name="Мои наименования показателей 3_1" xfId="1385"/>
    <cellStyle name="Мои наименования показателей 4" xfId="1386"/>
    <cellStyle name="Мои наименования показателей 4 2" xfId="1387"/>
    <cellStyle name="Мои наименования показателей 4 3" xfId="1388"/>
    <cellStyle name="Мои наименования показателей 4 4" xfId="1389"/>
    <cellStyle name="Мои наименования показателей 4 5" xfId="1390"/>
    <cellStyle name="Мои наименования показателей 4 6" xfId="1391"/>
    <cellStyle name="Мои наименования показателей 4 7" xfId="1392"/>
    <cellStyle name="Мои наименования показателей 4 8" xfId="1393"/>
    <cellStyle name="Мои наименования показателей 4 9" xfId="1394"/>
    <cellStyle name="Мои наименования показателей 4_1" xfId="1395"/>
    <cellStyle name="Мои наименования показателей 5" xfId="1396"/>
    <cellStyle name="Мои наименования показателей 5 2" xfId="1397"/>
    <cellStyle name="Мои наименования показателей 5 3" xfId="1398"/>
    <cellStyle name="Мои наименования показателей 5 4" xfId="1399"/>
    <cellStyle name="Мои наименования показателей 5 5" xfId="1400"/>
    <cellStyle name="Мои наименования показателей 5 6" xfId="1401"/>
    <cellStyle name="Мои наименования показателей 5 7" xfId="1402"/>
    <cellStyle name="Мои наименования показателей 5 8" xfId="1403"/>
    <cellStyle name="Мои наименования показателей 5 9" xfId="1404"/>
    <cellStyle name="Мои наименования показателей 5_1" xfId="1405"/>
    <cellStyle name="Мои наименования показателей 6" xfId="1406"/>
    <cellStyle name="Мои наименования показателей 6 2" xfId="1407"/>
    <cellStyle name="Мои наименования показателей 6 3" xfId="1408"/>
    <cellStyle name="Мои наименования показателей 6_46EE.2011(v1.0)" xfId="1409"/>
    <cellStyle name="Мои наименования показателей 7" xfId="1410"/>
    <cellStyle name="Мои наименования показателей 7 2" xfId="1411"/>
    <cellStyle name="Мои наименования показателей 7 3" xfId="1412"/>
    <cellStyle name="Мои наименования показателей 7_46EE.2011(v1.0)" xfId="1413"/>
    <cellStyle name="Мои наименования показателей 8" xfId="1414"/>
    <cellStyle name="Мои наименования показателей 8 2" xfId="1415"/>
    <cellStyle name="Мои наименования показателей 8 3" xfId="1416"/>
    <cellStyle name="Мои наименования показателей 8_46EE.2011(v1.0)" xfId="1417"/>
    <cellStyle name="Мои наименования показателей_46EE.2011(v1.2)" xfId="1418"/>
    <cellStyle name="Мой заголовок" xfId="1419"/>
    <cellStyle name="Мой заголовок листа" xfId="1420"/>
    <cellStyle name="назв фил" xfId="1421"/>
    <cellStyle name="Название 2" xfId="1422"/>
    <cellStyle name="Название 2 2" xfId="1423"/>
    <cellStyle name="Название 3" xfId="1424"/>
    <cellStyle name="Название 3 2" xfId="1425"/>
    <cellStyle name="Название 4" xfId="1426"/>
    <cellStyle name="Название 4 2" xfId="1427"/>
    <cellStyle name="Название 5" xfId="1428"/>
    <cellStyle name="Название 5 2" xfId="1429"/>
    <cellStyle name="Название 6" xfId="1430"/>
    <cellStyle name="Название 6 2" xfId="1431"/>
    <cellStyle name="Название 7" xfId="1432"/>
    <cellStyle name="Название 7 2" xfId="1433"/>
    <cellStyle name="Название 8" xfId="1434"/>
    <cellStyle name="Название 8 2" xfId="1435"/>
    <cellStyle name="Название 9" xfId="1436"/>
    <cellStyle name="Название 9 2" xfId="1437"/>
    <cellStyle name="Невидимый" xfId="1438"/>
    <cellStyle name="Нейтральный 2" xfId="1439"/>
    <cellStyle name="Нейтральный 2 2" xfId="1440"/>
    <cellStyle name="Нейтральный 3" xfId="1441"/>
    <cellStyle name="Нейтральный 3 2" xfId="1442"/>
    <cellStyle name="Нейтральный 4" xfId="1443"/>
    <cellStyle name="Нейтральный 4 2" xfId="1444"/>
    <cellStyle name="Нейтральный 5" xfId="1445"/>
    <cellStyle name="Нейтральный 5 2" xfId="1446"/>
    <cellStyle name="Нейтральный 6" xfId="1447"/>
    <cellStyle name="Нейтральный 6 2" xfId="1448"/>
    <cellStyle name="Нейтральный 7" xfId="1449"/>
    <cellStyle name="Нейтральный 7 2" xfId="1450"/>
    <cellStyle name="Нейтральный 8" xfId="1451"/>
    <cellStyle name="Нейтральный 8 2" xfId="1452"/>
    <cellStyle name="Нейтральный 9" xfId="1453"/>
    <cellStyle name="Нейтральный 9 2" xfId="1454"/>
    <cellStyle name="Низ1" xfId="1455"/>
    <cellStyle name="Низ2" xfId="1456"/>
    <cellStyle name="Обычный" xfId="0" builtinId="0"/>
    <cellStyle name="Обычный 10" xfId="1457"/>
    <cellStyle name="Обычный 11" xfId="1458"/>
    <cellStyle name="Обычный 11 2" xfId="1459"/>
    <cellStyle name="Обычный 2" xfId="1460"/>
    <cellStyle name="Обычный 2 2" xfId="1461"/>
    <cellStyle name="Обычный 2 2 2" xfId="1462"/>
    <cellStyle name="Обычный 2 2 3" xfId="1463"/>
    <cellStyle name="Обычный 2 2_46EE.2011(v1.0)" xfId="1464"/>
    <cellStyle name="Обычный 2 3" xfId="1465"/>
    <cellStyle name="Обычный 2 3 2" xfId="1466"/>
    <cellStyle name="Обычный 2 3 3" xfId="1467"/>
    <cellStyle name="Обычный 2 3_46EE.2011(v1.0)" xfId="1468"/>
    <cellStyle name="Обычный 2 4" xfId="1469"/>
    <cellStyle name="Обычный 2 4 2" xfId="1470"/>
    <cellStyle name="Обычный 2 4 3" xfId="1471"/>
    <cellStyle name="Обычный 2 4_46EE.2011(v1.0)" xfId="1472"/>
    <cellStyle name="Обычный 2 5" xfId="1473"/>
    <cellStyle name="Обычный 2 5 2" xfId="1474"/>
    <cellStyle name="Обычный 2 5 3" xfId="1475"/>
    <cellStyle name="Обычный 2 5_46EE.2011(v1.0)" xfId="1476"/>
    <cellStyle name="Обычный 2 6" xfId="1477"/>
    <cellStyle name="Обычный 2 6 2" xfId="1478"/>
    <cellStyle name="Обычный 2 6 3" xfId="1479"/>
    <cellStyle name="Обычный 2 6_46EE.2011(v1.0)" xfId="1480"/>
    <cellStyle name="Обычный 2 7" xfId="1481"/>
    <cellStyle name="Обычный 2_1" xfId="1482"/>
    <cellStyle name="Обычный 3" xfId="1483"/>
    <cellStyle name="Обычный 3 2" xfId="1484"/>
    <cellStyle name="Обычный 3 3" xfId="1485"/>
    <cellStyle name="Обычный 4" xfId="1486"/>
    <cellStyle name="Обычный 4 2" xfId="1487"/>
    <cellStyle name="Обычный 4 2 2" xfId="1488"/>
    <cellStyle name="Обычный 4 2_ARMRAZR" xfId="1489"/>
    <cellStyle name="Обычный 4_EE.20.MET.SVOD.2.73_v0.1" xfId="1490"/>
    <cellStyle name="Обычный 5" xfId="1491"/>
    <cellStyle name="Обычный 6" xfId="1492"/>
    <cellStyle name="Обычный 7" xfId="1493"/>
    <cellStyle name="Обычный 8" xfId="1494"/>
    <cellStyle name="Обычный 9" xfId="1495"/>
    <cellStyle name="Обычный_2 График инвестпрограммы 2016 2015_11_30" xfId="1496"/>
    <cellStyle name="Обычный_2013_03_06_Учёт и распределение электроэнергии. 2013_02 Глобэл прожект" xfId="1497"/>
    <cellStyle name="Обычный_69450110" xfId="1498"/>
    <cellStyle name="Обычный_razrabotka_sablonov_po_WKU" xfId="1499"/>
    <cellStyle name="Обычный_График инвестпрограммы 2015 2014_12_19" xfId="1500"/>
    <cellStyle name="Обычный_График инвестпрограммы 2017_06_23" xfId="1501"/>
    <cellStyle name="Обычный_ДС №4 Приложение 1. Договорные объемы 2012" xfId="1502"/>
    <cellStyle name="Обычный_Лист1" xfId="1503"/>
    <cellStyle name="Обычный_Мониторинг инвестиций" xfId="1504"/>
    <cellStyle name="Обычный_стр.1_5" xfId="1505"/>
    <cellStyle name="Обычный_тарифы на 2002г с 1-01" xfId="1506"/>
    <cellStyle name="Обычный_Техподключения" xfId="1507"/>
    <cellStyle name="Ошибка" xfId="1508"/>
    <cellStyle name="Плохой 2" xfId="1509"/>
    <cellStyle name="Плохой 2 2" xfId="1510"/>
    <cellStyle name="Плохой 3" xfId="1511"/>
    <cellStyle name="Плохой 3 2" xfId="1512"/>
    <cellStyle name="Плохой 4" xfId="1513"/>
    <cellStyle name="Плохой 4 2" xfId="1514"/>
    <cellStyle name="Плохой 5" xfId="1515"/>
    <cellStyle name="Плохой 5 2" xfId="1516"/>
    <cellStyle name="Плохой 6" xfId="1517"/>
    <cellStyle name="Плохой 6 2" xfId="1518"/>
    <cellStyle name="Плохой 7" xfId="1519"/>
    <cellStyle name="Плохой 7 2" xfId="1520"/>
    <cellStyle name="Плохой 8" xfId="1521"/>
    <cellStyle name="Плохой 8 2" xfId="1522"/>
    <cellStyle name="Плохой 9" xfId="1523"/>
    <cellStyle name="Плохой 9 2" xfId="1524"/>
    <cellStyle name="По центру с переносом" xfId="1525"/>
    <cellStyle name="По ширине с переносом" xfId="1526"/>
    <cellStyle name="Подгруппа" xfId="1527"/>
    <cellStyle name="Поле ввода" xfId="1528"/>
    <cellStyle name="Пояснение 2" xfId="1529"/>
    <cellStyle name="Пояснение 2 2" xfId="1530"/>
    <cellStyle name="Пояснение 3" xfId="1531"/>
    <cellStyle name="Пояснение 3 2" xfId="1532"/>
    <cellStyle name="Пояснение 4" xfId="1533"/>
    <cellStyle name="Пояснение 4 2" xfId="1534"/>
    <cellStyle name="Пояснение 5" xfId="1535"/>
    <cellStyle name="Пояснение 5 2" xfId="1536"/>
    <cellStyle name="Пояснение 6" xfId="1537"/>
    <cellStyle name="Пояснение 6 2" xfId="1538"/>
    <cellStyle name="Пояснение 7" xfId="1539"/>
    <cellStyle name="Пояснение 7 2" xfId="1540"/>
    <cellStyle name="Пояснение 8" xfId="1541"/>
    <cellStyle name="Пояснение 8 2" xfId="1542"/>
    <cellStyle name="Пояснение 9" xfId="1543"/>
    <cellStyle name="Пояснение 9 2" xfId="1544"/>
    <cellStyle name="Примечание 10" xfId="1545"/>
    <cellStyle name="Примечание 10 2" xfId="1546"/>
    <cellStyle name="Примечание 10 3" xfId="1547"/>
    <cellStyle name="Примечание 10_46EE.2011(v1.0)" xfId="1548"/>
    <cellStyle name="Примечание 11" xfId="1549"/>
    <cellStyle name="Примечание 11 2" xfId="1550"/>
    <cellStyle name="Примечание 11 3" xfId="1551"/>
    <cellStyle name="Примечание 11_46EE.2011(v1.0)" xfId="1552"/>
    <cellStyle name="Примечание 12" xfId="1553"/>
    <cellStyle name="Примечание 12 2" xfId="1554"/>
    <cellStyle name="Примечание 12 3" xfId="1555"/>
    <cellStyle name="Примечание 12_46EE.2011(v1.0)" xfId="1556"/>
    <cellStyle name="Примечание 2" xfId="1557"/>
    <cellStyle name="Примечание 2 2" xfId="1558"/>
    <cellStyle name="Примечание 2 3" xfId="1559"/>
    <cellStyle name="Примечание 2 4" xfId="1560"/>
    <cellStyle name="Примечание 2 5" xfId="1561"/>
    <cellStyle name="Примечание 2 6" xfId="1562"/>
    <cellStyle name="Примечание 2 7" xfId="1563"/>
    <cellStyle name="Примечание 2 8" xfId="1564"/>
    <cellStyle name="Примечание 2 9" xfId="1565"/>
    <cellStyle name="Примечание 2_46EE.2011(v1.0)" xfId="1566"/>
    <cellStyle name="Примечание 3" xfId="1567"/>
    <cellStyle name="Примечание 3 2" xfId="1568"/>
    <cellStyle name="Примечание 3 3" xfId="1569"/>
    <cellStyle name="Примечание 3 4" xfId="1570"/>
    <cellStyle name="Примечание 3 5" xfId="1571"/>
    <cellStyle name="Примечание 3 6" xfId="1572"/>
    <cellStyle name="Примечание 3 7" xfId="1573"/>
    <cellStyle name="Примечание 3 8" xfId="1574"/>
    <cellStyle name="Примечание 3 9" xfId="1575"/>
    <cellStyle name="Примечание 3_46EE.2011(v1.0)" xfId="1576"/>
    <cellStyle name="Примечание 4" xfId="1577"/>
    <cellStyle name="Примечание 4 2" xfId="1578"/>
    <cellStyle name="Примечание 4 3" xfId="1579"/>
    <cellStyle name="Примечание 4 4" xfId="1580"/>
    <cellStyle name="Примечание 4 5" xfId="1581"/>
    <cellStyle name="Примечание 4 6" xfId="1582"/>
    <cellStyle name="Примечание 4 7" xfId="1583"/>
    <cellStyle name="Примечание 4 8" xfId="1584"/>
    <cellStyle name="Примечание 4 9" xfId="1585"/>
    <cellStyle name="Примечание 4_46EE.2011(v1.0)" xfId="1586"/>
    <cellStyle name="Финансовый 2" xfId="158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8" Type="http://schemas.openxmlformats.org/officeDocument/2006/relationships/image" Target="../media/image11.wmf"/><Relationship Id="rId13" Type="http://schemas.openxmlformats.org/officeDocument/2006/relationships/image" Target="../media/image16.wmf"/><Relationship Id="rId3" Type="http://schemas.openxmlformats.org/officeDocument/2006/relationships/image" Target="../media/image6.wmf"/><Relationship Id="rId7" Type="http://schemas.openxmlformats.org/officeDocument/2006/relationships/image" Target="../media/image10.wmf"/><Relationship Id="rId12" Type="http://schemas.openxmlformats.org/officeDocument/2006/relationships/image" Target="../media/image15.wmf"/><Relationship Id="rId2" Type="http://schemas.openxmlformats.org/officeDocument/2006/relationships/image" Target="../media/image5.wmf"/><Relationship Id="rId1" Type="http://schemas.openxmlformats.org/officeDocument/2006/relationships/image" Target="../media/image4.wmf"/><Relationship Id="rId6" Type="http://schemas.openxmlformats.org/officeDocument/2006/relationships/image" Target="../media/image9.wmf"/><Relationship Id="rId11" Type="http://schemas.openxmlformats.org/officeDocument/2006/relationships/image" Target="../media/image14.wmf"/><Relationship Id="rId5" Type="http://schemas.openxmlformats.org/officeDocument/2006/relationships/image" Target="../media/image8.wmf"/><Relationship Id="rId15" Type="http://schemas.openxmlformats.org/officeDocument/2006/relationships/image" Target="../media/image18.wmf"/><Relationship Id="rId10" Type="http://schemas.openxmlformats.org/officeDocument/2006/relationships/image" Target="../media/image13.wmf"/><Relationship Id="rId4" Type="http://schemas.openxmlformats.org/officeDocument/2006/relationships/image" Target="../media/image7.wmf"/><Relationship Id="rId9" Type="http://schemas.openxmlformats.org/officeDocument/2006/relationships/image" Target="../media/image12.wmf"/><Relationship Id="rId14" Type="http://schemas.openxmlformats.org/officeDocument/2006/relationships/image" Target="../media/image17.w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43</xdr:row>
      <xdr:rowOff>0</xdr:rowOff>
    </xdr:from>
    <xdr:to>
      <xdr:col>6</xdr:col>
      <xdr:colOff>95250</xdr:colOff>
      <xdr:row>43</xdr:row>
      <xdr:rowOff>238125</xdr:rowOff>
    </xdr:to>
    <xdr:sp macro="" textlink="">
      <xdr:nvSpPr>
        <xdr:cNvPr id="19457" name="Text Box 1"/>
        <xdr:cNvSpPr txBox="1">
          <a:spLocks noChangeArrowheads="1"/>
        </xdr:cNvSpPr>
      </xdr:nvSpPr>
      <xdr:spPr bwMode="auto">
        <a:xfrm>
          <a:off x="7620000" y="23402925"/>
          <a:ext cx="95250" cy="2381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95250</xdr:colOff>
      <xdr:row>60</xdr:row>
      <xdr:rowOff>238125</xdr:rowOff>
    </xdr:to>
    <xdr:sp macro="" textlink="">
      <xdr:nvSpPr>
        <xdr:cNvPr id="19458" name="Text Box 2"/>
        <xdr:cNvSpPr txBox="1">
          <a:spLocks noChangeArrowheads="1"/>
        </xdr:cNvSpPr>
      </xdr:nvSpPr>
      <xdr:spPr bwMode="auto">
        <a:xfrm>
          <a:off x="7620000" y="32870775"/>
          <a:ext cx="95250" cy="238125"/>
        </a:xfrm>
        <a:prstGeom prst="rect">
          <a:avLst/>
        </a:prstGeom>
        <a:noFill/>
        <a:ln w="9525">
          <a:noFill/>
          <a:miter lim="800000"/>
          <a:headEnd/>
          <a:tailEnd/>
        </a:ln>
      </xdr:spPr>
    </xdr:sp>
    <xdr:clientData/>
  </xdr:twoCellAnchor>
  <xdr:twoCellAnchor editAs="oneCell">
    <xdr:from>
      <xdr:col>6</xdr:col>
      <xdr:colOff>0</xdr:colOff>
      <xdr:row>46</xdr:row>
      <xdr:rowOff>0</xdr:rowOff>
    </xdr:from>
    <xdr:to>
      <xdr:col>6</xdr:col>
      <xdr:colOff>95250</xdr:colOff>
      <xdr:row>46</xdr:row>
      <xdr:rowOff>238125</xdr:rowOff>
    </xdr:to>
    <xdr:sp macro="" textlink="">
      <xdr:nvSpPr>
        <xdr:cNvPr id="19459" name="Text Box 3"/>
        <xdr:cNvSpPr txBox="1">
          <a:spLocks noChangeArrowheads="1"/>
        </xdr:cNvSpPr>
      </xdr:nvSpPr>
      <xdr:spPr bwMode="auto">
        <a:xfrm>
          <a:off x="7620000" y="25165050"/>
          <a:ext cx="95250" cy="238125"/>
        </a:xfrm>
        <a:prstGeom prst="rect">
          <a:avLst/>
        </a:prstGeom>
        <a:noFill/>
        <a:ln w="9525">
          <a:noFill/>
          <a:miter lim="800000"/>
          <a:headEnd/>
          <a:tailEnd/>
        </a:ln>
      </xdr:spPr>
    </xdr:sp>
    <xdr:clientData/>
  </xdr:twoCellAnchor>
  <xdr:twoCellAnchor editAs="oneCell">
    <xdr:from>
      <xdr:col>6</xdr:col>
      <xdr:colOff>0</xdr:colOff>
      <xdr:row>60</xdr:row>
      <xdr:rowOff>0</xdr:rowOff>
    </xdr:from>
    <xdr:to>
      <xdr:col>6</xdr:col>
      <xdr:colOff>95250</xdr:colOff>
      <xdr:row>60</xdr:row>
      <xdr:rowOff>238125</xdr:rowOff>
    </xdr:to>
    <xdr:sp macro="" textlink="">
      <xdr:nvSpPr>
        <xdr:cNvPr id="19460" name="Text Box 4"/>
        <xdr:cNvSpPr txBox="1">
          <a:spLocks noChangeArrowheads="1"/>
        </xdr:cNvSpPr>
      </xdr:nvSpPr>
      <xdr:spPr bwMode="auto">
        <a:xfrm>
          <a:off x="7620000" y="32870775"/>
          <a:ext cx="95250" cy="238125"/>
        </a:xfrm>
        <a:prstGeom prst="rect">
          <a:avLst/>
        </a:prstGeom>
        <a:noFill/>
        <a:ln w="9525">
          <a:noFill/>
          <a:miter lim="800000"/>
          <a:headEnd/>
          <a:tailEnd/>
        </a:ln>
      </xdr:spPr>
    </xdr:sp>
    <xdr:clientData/>
  </xdr:twoCellAnchor>
  <xdr:twoCellAnchor editAs="oneCell">
    <xdr:from>
      <xdr:col>6</xdr:col>
      <xdr:colOff>0</xdr:colOff>
      <xdr:row>102</xdr:row>
      <xdr:rowOff>0</xdr:rowOff>
    </xdr:from>
    <xdr:to>
      <xdr:col>6</xdr:col>
      <xdr:colOff>95250</xdr:colOff>
      <xdr:row>102</xdr:row>
      <xdr:rowOff>238125</xdr:rowOff>
    </xdr:to>
    <xdr:sp macro="" textlink="">
      <xdr:nvSpPr>
        <xdr:cNvPr id="19461" name="Text Box 5"/>
        <xdr:cNvSpPr txBox="1">
          <a:spLocks noChangeArrowheads="1"/>
        </xdr:cNvSpPr>
      </xdr:nvSpPr>
      <xdr:spPr bwMode="auto">
        <a:xfrm>
          <a:off x="7620000" y="47815500"/>
          <a:ext cx="95250" cy="238125"/>
        </a:xfrm>
        <a:prstGeom prst="rect">
          <a:avLst/>
        </a:prstGeom>
        <a:noFill/>
        <a:ln w="9525">
          <a:noFill/>
          <a:miter lim="800000"/>
          <a:headEnd/>
          <a:tailEnd/>
        </a:ln>
      </xdr:spPr>
    </xdr:sp>
    <xdr:clientData/>
  </xdr:twoCellAnchor>
  <xdr:twoCellAnchor editAs="oneCell">
    <xdr:from>
      <xdr:col>6</xdr:col>
      <xdr:colOff>0</xdr:colOff>
      <xdr:row>105</xdr:row>
      <xdr:rowOff>0</xdr:rowOff>
    </xdr:from>
    <xdr:to>
      <xdr:col>6</xdr:col>
      <xdr:colOff>95250</xdr:colOff>
      <xdr:row>106</xdr:row>
      <xdr:rowOff>9525</xdr:rowOff>
    </xdr:to>
    <xdr:sp macro="" textlink="">
      <xdr:nvSpPr>
        <xdr:cNvPr id="19462" name="Text Box 6"/>
        <xdr:cNvSpPr txBox="1">
          <a:spLocks noChangeArrowheads="1"/>
        </xdr:cNvSpPr>
      </xdr:nvSpPr>
      <xdr:spPr bwMode="auto">
        <a:xfrm>
          <a:off x="7620000" y="48958500"/>
          <a:ext cx="95250" cy="238125"/>
        </a:xfrm>
        <a:prstGeom prst="rect">
          <a:avLst/>
        </a:prstGeom>
        <a:noFill/>
        <a:ln w="9525">
          <a:noFill/>
          <a:miter lim="800000"/>
          <a:headEnd/>
          <a:tailEnd/>
        </a:ln>
      </xdr:spPr>
    </xdr:sp>
    <xdr:clientData/>
  </xdr:twoCellAnchor>
  <xdr:twoCellAnchor editAs="oneCell">
    <xdr:from>
      <xdr:col>6</xdr:col>
      <xdr:colOff>0</xdr:colOff>
      <xdr:row>119</xdr:row>
      <xdr:rowOff>0</xdr:rowOff>
    </xdr:from>
    <xdr:to>
      <xdr:col>6</xdr:col>
      <xdr:colOff>95250</xdr:colOff>
      <xdr:row>119</xdr:row>
      <xdr:rowOff>238125</xdr:rowOff>
    </xdr:to>
    <xdr:sp macro="" textlink="">
      <xdr:nvSpPr>
        <xdr:cNvPr id="19463" name="Text Box 2"/>
        <xdr:cNvSpPr txBox="1">
          <a:spLocks noChangeArrowheads="1"/>
        </xdr:cNvSpPr>
      </xdr:nvSpPr>
      <xdr:spPr bwMode="auto">
        <a:xfrm>
          <a:off x="7620000" y="53482875"/>
          <a:ext cx="95250" cy="238125"/>
        </a:xfrm>
        <a:prstGeom prst="rect">
          <a:avLst/>
        </a:prstGeom>
        <a:noFill/>
        <a:ln w="9525">
          <a:noFill/>
          <a:miter lim="800000"/>
          <a:headEnd/>
          <a:tailEnd/>
        </a:ln>
      </xdr:spPr>
    </xdr:sp>
    <xdr:clientData/>
  </xdr:twoCellAnchor>
  <xdr:twoCellAnchor editAs="oneCell">
    <xdr:from>
      <xdr:col>6</xdr:col>
      <xdr:colOff>0</xdr:colOff>
      <xdr:row>119</xdr:row>
      <xdr:rowOff>0</xdr:rowOff>
    </xdr:from>
    <xdr:to>
      <xdr:col>6</xdr:col>
      <xdr:colOff>95250</xdr:colOff>
      <xdr:row>119</xdr:row>
      <xdr:rowOff>238125</xdr:rowOff>
    </xdr:to>
    <xdr:sp macro="" textlink="">
      <xdr:nvSpPr>
        <xdr:cNvPr id="19464" name="Text Box 4"/>
        <xdr:cNvSpPr txBox="1">
          <a:spLocks noChangeArrowheads="1"/>
        </xdr:cNvSpPr>
      </xdr:nvSpPr>
      <xdr:spPr bwMode="auto">
        <a:xfrm>
          <a:off x="7620000" y="53482875"/>
          <a:ext cx="95250" cy="238125"/>
        </a:xfrm>
        <a:prstGeom prst="rect">
          <a:avLst/>
        </a:prstGeom>
        <a:noFill/>
        <a:ln w="9525">
          <a:noFill/>
          <a:miter lim="800000"/>
          <a:headEnd/>
          <a:tailEnd/>
        </a:ln>
      </xdr:spPr>
    </xdr:sp>
    <xdr:clientData/>
  </xdr:twoCellAnchor>
  <xdr:twoCellAnchor editAs="oneCell">
    <xdr:from>
      <xdr:col>6</xdr:col>
      <xdr:colOff>0</xdr:colOff>
      <xdr:row>163</xdr:row>
      <xdr:rowOff>0</xdr:rowOff>
    </xdr:from>
    <xdr:to>
      <xdr:col>6</xdr:col>
      <xdr:colOff>95250</xdr:colOff>
      <xdr:row>163</xdr:row>
      <xdr:rowOff>238125</xdr:rowOff>
    </xdr:to>
    <xdr:sp macro="" textlink="">
      <xdr:nvSpPr>
        <xdr:cNvPr id="19465" name="Text Box 1"/>
        <xdr:cNvSpPr txBox="1">
          <a:spLocks noChangeArrowheads="1"/>
        </xdr:cNvSpPr>
      </xdr:nvSpPr>
      <xdr:spPr bwMode="auto">
        <a:xfrm>
          <a:off x="7620000" y="77266800"/>
          <a:ext cx="95250" cy="238125"/>
        </a:xfrm>
        <a:prstGeom prst="rect">
          <a:avLst/>
        </a:prstGeom>
        <a:noFill/>
        <a:ln w="9525">
          <a:noFill/>
          <a:miter lim="800000"/>
          <a:headEnd/>
          <a:tailEnd/>
        </a:ln>
      </xdr:spPr>
    </xdr:sp>
    <xdr:clientData/>
  </xdr:twoCellAnchor>
  <xdr:twoCellAnchor editAs="oneCell">
    <xdr:from>
      <xdr:col>6</xdr:col>
      <xdr:colOff>0</xdr:colOff>
      <xdr:row>166</xdr:row>
      <xdr:rowOff>0</xdr:rowOff>
    </xdr:from>
    <xdr:to>
      <xdr:col>6</xdr:col>
      <xdr:colOff>95250</xdr:colOff>
      <xdr:row>166</xdr:row>
      <xdr:rowOff>238125</xdr:rowOff>
    </xdr:to>
    <xdr:sp macro="" textlink="">
      <xdr:nvSpPr>
        <xdr:cNvPr id="19466" name="Text Box 5"/>
        <xdr:cNvSpPr txBox="1">
          <a:spLocks noChangeArrowheads="1"/>
        </xdr:cNvSpPr>
      </xdr:nvSpPr>
      <xdr:spPr bwMode="auto">
        <a:xfrm>
          <a:off x="7620000" y="78609825"/>
          <a:ext cx="95250" cy="238125"/>
        </a:xfrm>
        <a:prstGeom prst="rect">
          <a:avLst/>
        </a:prstGeom>
        <a:noFill/>
        <a:ln w="9525">
          <a:noFill/>
          <a:miter lim="800000"/>
          <a:headEnd/>
          <a:tailEnd/>
        </a:ln>
      </xdr:spPr>
    </xdr:sp>
    <xdr:clientData/>
  </xdr:twoCellAnchor>
  <xdr:twoCellAnchor editAs="oneCell">
    <xdr:from>
      <xdr:col>6</xdr:col>
      <xdr:colOff>0</xdr:colOff>
      <xdr:row>224</xdr:row>
      <xdr:rowOff>0</xdr:rowOff>
    </xdr:from>
    <xdr:to>
      <xdr:col>6</xdr:col>
      <xdr:colOff>95250</xdr:colOff>
      <xdr:row>224</xdr:row>
      <xdr:rowOff>238125</xdr:rowOff>
    </xdr:to>
    <xdr:sp macro="" textlink="">
      <xdr:nvSpPr>
        <xdr:cNvPr id="19467" name="Text Box 1"/>
        <xdr:cNvSpPr txBox="1">
          <a:spLocks noChangeArrowheads="1"/>
        </xdr:cNvSpPr>
      </xdr:nvSpPr>
      <xdr:spPr bwMode="auto">
        <a:xfrm>
          <a:off x="7620000" y="109861350"/>
          <a:ext cx="95250" cy="238125"/>
        </a:xfrm>
        <a:prstGeom prst="rect">
          <a:avLst/>
        </a:prstGeom>
        <a:noFill/>
        <a:ln w="9525">
          <a:noFill/>
          <a:miter lim="800000"/>
          <a:headEnd/>
          <a:tailEnd/>
        </a:ln>
      </xdr:spPr>
    </xdr:sp>
    <xdr:clientData/>
  </xdr:twoCellAnchor>
  <xdr:twoCellAnchor editAs="oneCell">
    <xdr:from>
      <xdr:col>6</xdr:col>
      <xdr:colOff>0</xdr:colOff>
      <xdr:row>227</xdr:row>
      <xdr:rowOff>0</xdr:rowOff>
    </xdr:from>
    <xdr:to>
      <xdr:col>6</xdr:col>
      <xdr:colOff>95250</xdr:colOff>
      <xdr:row>227</xdr:row>
      <xdr:rowOff>238125</xdr:rowOff>
    </xdr:to>
    <xdr:sp macro="" textlink="">
      <xdr:nvSpPr>
        <xdr:cNvPr id="19468" name="Text Box 5"/>
        <xdr:cNvSpPr txBox="1">
          <a:spLocks noChangeArrowheads="1"/>
        </xdr:cNvSpPr>
      </xdr:nvSpPr>
      <xdr:spPr bwMode="auto">
        <a:xfrm>
          <a:off x="7620000" y="111623475"/>
          <a:ext cx="95250" cy="238125"/>
        </a:xfrm>
        <a:prstGeom prst="rect">
          <a:avLst/>
        </a:prstGeom>
        <a:noFill/>
        <a:ln w="9525">
          <a:noFill/>
          <a:miter lim="800000"/>
          <a:headEnd/>
          <a:tailEnd/>
        </a:ln>
      </xdr:spPr>
    </xdr:sp>
    <xdr:clientData/>
  </xdr:twoCellAnchor>
  <xdr:twoCellAnchor editAs="oneCell">
    <xdr:from>
      <xdr:col>6</xdr:col>
      <xdr:colOff>0</xdr:colOff>
      <xdr:row>285</xdr:row>
      <xdr:rowOff>0</xdr:rowOff>
    </xdr:from>
    <xdr:to>
      <xdr:col>6</xdr:col>
      <xdr:colOff>95250</xdr:colOff>
      <xdr:row>285</xdr:row>
      <xdr:rowOff>238125</xdr:rowOff>
    </xdr:to>
    <xdr:sp macro="" textlink="">
      <xdr:nvSpPr>
        <xdr:cNvPr id="19469" name="Text Box 1"/>
        <xdr:cNvSpPr txBox="1">
          <a:spLocks noChangeArrowheads="1"/>
        </xdr:cNvSpPr>
      </xdr:nvSpPr>
      <xdr:spPr bwMode="auto">
        <a:xfrm>
          <a:off x="7620000" y="143694150"/>
          <a:ext cx="95250" cy="238125"/>
        </a:xfrm>
        <a:prstGeom prst="rect">
          <a:avLst/>
        </a:prstGeom>
        <a:noFill/>
        <a:ln w="9525">
          <a:noFill/>
          <a:miter lim="800000"/>
          <a:headEnd/>
          <a:tailEnd/>
        </a:ln>
      </xdr:spPr>
    </xdr:sp>
    <xdr:clientData/>
  </xdr:twoCellAnchor>
  <xdr:twoCellAnchor editAs="oneCell">
    <xdr:from>
      <xdr:col>6</xdr:col>
      <xdr:colOff>0</xdr:colOff>
      <xdr:row>288</xdr:row>
      <xdr:rowOff>0</xdr:rowOff>
    </xdr:from>
    <xdr:to>
      <xdr:col>6</xdr:col>
      <xdr:colOff>95250</xdr:colOff>
      <xdr:row>288</xdr:row>
      <xdr:rowOff>238125</xdr:rowOff>
    </xdr:to>
    <xdr:sp macro="" textlink="">
      <xdr:nvSpPr>
        <xdr:cNvPr id="19470" name="Text Box 5"/>
        <xdr:cNvSpPr txBox="1">
          <a:spLocks noChangeArrowheads="1"/>
        </xdr:cNvSpPr>
      </xdr:nvSpPr>
      <xdr:spPr bwMode="auto">
        <a:xfrm>
          <a:off x="7620000" y="145456275"/>
          <a:ext cx="95250" cy="238125"/>
        </a:xfrm>
        <a:prstGeom prst="rect">
          <a:avLst/>
        </a:prstGeom>
        <a:noFill/>
        <a:ln w="9525">
          <a:noFill/>
          <a:miter lim="800000"/>
          <a:headEnd/>
          <a:tailEnd/>
        </a:ln>
      </xdr:spPr>
    </xdr:sp>
    <xdr:clientData/>
  </xdr:twoCellAnchor>
  <xdr:twoCellAnchor editAs="oneCell">
    <xdr:from>
      <xdr:col>6</xdr:col>
      <xdr:colOff>0</xdr:colOff>
      <xdr:row>349</xdr:row>
      <xdr:rowOff>0</xdr:rowOff>
    </xdr:from>
    <xdr:to>
      <xdr:col>6</xdr:col>
      <xdr:colOff>95250</xdr:colOff>
      <xdr:row>349</xdr:row>
      <xdr:rowOff>238125</xdr:rowOff>
    </xdr:to>
    <xdr:sp macro="" textlink="">
      <xdr:nvSpPr>
        <xdr:cNvPr id="19471" name="Text Box 1"/>
        <xdr:cNvSpPr txBox="1">
          <a:spLocks noChangeArrowheads="1"/>
        </xdr:cNvSpPr>
      </xdr:nvSpPr>
      <xdr:spPr bwMode="auto">
        <a:xfrm>
          <a:off x="7620000" y="178974750"/>
          <a:ext cx="95250" cy="238125"/>
        </a:xfrm>
        <a:prstGeom prst="rect">
          <a:avLst/>
        </a:prstGeom>
        <a:noFill/>
        <a:ln w="9525">
          <a:noFill/>
          <a:miter lim="800000"/>
          <a:headEnd/>
          <a:tailEnd/>
        </a:ln>
      </xdr:spPr>
    </xdr:sp>
    <xdr:clientData/>
  </xdr:twoCellAnchor>
  <xdr:twoCellAnchor editAs="oneCell">
    <xdr:from>
      <xdr:col>6</xdr:col>
      <xdr:colOff>0</xdr:colOff>
      <xdr:row>352</xdr:row>
      <xdr:rowOff>0</xdr:rowOff>
    </xdr:from>
    <xdr:to>
      <xdr:col>6</xdr:col>
      <xdr:colOff>95250</xdr:colOff>
      <xdr:row>352</xdr:row>
      <xdr:rowOff>238125</xdr:rowOff>
    </xdr:to>
    <xdr:sp macro="" textlink="">
      <xdr:nvSpPr>
        <xdr:cNvPr id="19472" name="Text Box 5"/>
        <xdr:cNvSpPr txBox="1">
          <a:spLocks noChangeArrowheads="1"/>
        </xdr:cNvSpPr>
      </xdr:nvSpPr>
      <xdr:spPr bwMode="auto">
        <a:xfrm>
          <a:off x="7620000" y="180736875"/>
          <a:ext cx="95250" cy="238125"/>
        </a:xfrm>
        <a:prstGeom prst="rect">
          <a:avLst/>
        </a:prstGeom>
        <a:noFill/>
        <a:ln w="9525">
          <a:noFill/>
          <a:miter lim="800000"/>
          <a:headEnd/>
          <a:tailEnd/>
        </a:ln>
      </xdr:spPr>
    </xdr:sp>
    <xdr:clientData/>
  </xdr:twoCellAnchor>
  <xdr:twoCellAnchor editAs="oneCell">
    <xdr:from>
      <xdr:col>6</xdr:col>
      <xdr:colOff>0</xdr:colOff>
      <xdr:row>416</xdr:row>
      <xdr:rowOff>0</xdr:rowOff>
    </xdr:from>
    <xdr:to>
      <xdr:col>6</xdr:col>
      <xdr:colOff>95250</xdr:colOff>
      <xdr:row>416</xdr:row>
      <xdr:rowOff>238125</xdr:rowOff>
    </xdr:to>
    <xdr:sp macro="" textlink="">
      <xdr:nvSpPr>
        <xdr:cNvPr id="19473" name="Text Box 1"/>
        <xdr:cNvSpPr txBox="1">
          <a:spLocks noChangeArrowheads="1"/>
        </xdr:cNvSpPr>
      </xdr:nvSpPr>
      <xdr:spPr bwMode="auto">
        <a:xfrm>
          <a:off x="7620000" y="216141300"/>
          <a:ext cx="95250" cy="238125"/>
        </a:xfrm>
        <a:prstGeom prst="rect">
          <a:avLst/>
        </a:prstGeom>
        <a:noFill/>
        <a:ln w="9525">
          <a:noFill/>
          <a:miter lim="800000"/>
          <a:headEnd/>
          <a:tailEnd/>
        </a:ln>
      </xdr:spPr>
    </xdr:sp>
    <xdr:clientData/>
  </xdr:twoCellAnchor>
  <xdr:twoCellAnchor editAs="oneCell">
    <xdr:from>
      <xdr:col>6</xdr:col>
      <xdr:colOff>0</xdr:colOff>
      <xdr:row>419</xdr:row>
      <xdr:rowOff>0</xdr:rowOff>
    </xdr:from>
    <xdr:to>
      <xdr:col>6</xdr:col>
      <xdr:colOff>95250</xdr:colOff>
      <xdr:row>419</xdr:row>
      <xdr:rowOff>238125</xdr:rowOff>
    </xdr:to>
    <xdr:sp macro="" textlink="">
      <xdr:nvSpPr>
        <xdr:cNvPr id="19474" name="Text Box 5"/>
        <xdr:cNvSpPr txBox="1">
          <a:spLocks noChangeArrowheads="1"/>
        </xdr:cNvSpPr>
      </xdr:nvSpPr>
      <xdr:spPr bwMode="auto">
        <a:xfrm>
          <a:off x="7620000" y="217903425"/>
          <a:ext cx="95250" cy="2381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95250</xdr:colOff>
      <xdr:row>5</xdr:row>
      <xdr:rowOff>47625</xdr:rowOff>
    </xdr:to>
    <xdr:sp macro="" textlink="">
      <xdr:nvSpPr>
        <xdr:cNvPr id="20481" name="Text Box 1"/>
        <xdr:cNvSpPr txBox="1">
          <a:spLocks noChangeArrowheads="1"/>
        </xdr:cNvSpPr>
      </xdr:nvSpPr>
      <xdr:spPr bwMode="auto">
        <a:xfrm>
          <a:off x="9134475" y="790575"/>
          <a:ext cx="9525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95250</xdr:colOff>
      <xdr:row>5</xdr:row>
      <xdr:rowOff>47625</xdr:rowOff>
    </xdr:to>
    <xdr:sp macro="" textlink="">
      <xdr:nvSpPr>
        <xdr:cNvPr id="20482" name="Text Box 5"/>
        <xdr:cNvSpPr txBox="1">
          <a:spLocks noChangeArrowheads="1"/>
        </xdr:cNvSpPr>
      </xdr:nvSpPr>
      <xdr:spPr bwMode="auto">
        <a:xfrm>
          <a:off x="9134475" y="790575"/>
          <a:ext cx="95250" cy="2381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651</xdr:row>
      <xdr:rowOff>76200</xdr:rowOff>
    </xdr:from>
    <xdr:to>
      <xdr:col>2</xdr:col>
      <xdr:colOff>0</xdr:colOff>
      <xdr:row>651</xdr:row>
      <xdr:rowOff>76200</xdr:rowOff>
    </xdr:to>
    <xdr:sp macro="" textlink="">
      <xdr:nvSpPr>
        <xdr:cNvPr id="10242" name="Line 1"/>
        <xdr:cNvSpPr>
          <a:spLocks noChangeShapeType="1"/>
        </xdr:cNvSpPr>
      </xdr:nvSpPr>
      <xdr:spPr bwMode="auto">
        <a:xfrm>
          <a:off x="2190750" y="301532925"/>
          <a:ext cx="0" cy="0"/>
        </a:xfrm>
        <a:prstGeom prst="line">
          <a:avLst/>
        </a:prstGeom>
        <a:noFill/>
        <a:ln w="9525">
          <a:solidFill>
            <a:srgbClr val="000000"/>
          </a:solidFill>
          <a:round/>
          <a:headEnd/>
          <a:tailEnd type="triangle" w="med" len="med"/>
        </a:ln>
      </xdr:spPr>
    </xdr:sp>
    <xdr:clientData/>
  </xdr:twoCellAnchor>
  <xdr:twoCellAnchor>
    <xdr:from>
      <xdr:col>18</xdr:col>
      <xdr:colOff>0</xdr:colOff>
      <xdr:row>638</xdr:row>
      <xdr:rowOff>76200</xdr:rowOff>
    </xdr:from>
    <xdr:to>
      <xdr:col>18</xdr:col>
      <xdr:colOff>0</xdr:colOff>
      <xdr:row>638</xdr:row>
      <xdr:rowOff>76200</xdr:rowOff>
    </xdr:to>
    <xdr:sp macro="" textlink="">
      <xdr:nvSpPr>
        <xdr:cNvPr id="10243" name="Line 1"/>
        <xdr:cNvSpPr>
          <a:spLocks noChangeShapeType="1"/>
        </xdr:cNvSpPr>
      </xdr:nvSpPr>
      <xdr:spPr bwMode="auto">
        <a:xfrm>
          <a:off x="14154150" y="29352240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352425</xdr:colOff>
      <xdr:row>11</xdr:row>
      <xdr:rowOff>57150</xdr:rowOff>
    </xdr:to>
    <xdr:pic>
      <xdr:nvPicPr>
        <xdr:cNvPr id="2150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52475" y="6000750"/>
          <a:ext cx="352425" cy="219075"/>
        </a:xfrm>
        <a:prstGeom prst="rect">
          <a:avLst/>
        </a:prstGeom>
        <a:solidFill>
          <a:srgbClr val="FFFFFF"/>
        </a:solidFill>
        <a:ln w="9525">
          <a:noFill/>
          <a:miter lim="800000"/>
          <a:headEnd/>
          <a:tailEnd/>
        </a:ln>
      </xdr:spPr>
    </xdr:pic>
    <xdr:clientData/>
  </xdr:twoCellAnchor>
  <xdr:twoCellAnchor>
    <xdr:from>
      <xdr:col>2</xdr:col>
      <xdr:colOff>0</xdr:colOff>
      <xdr:row>11</xdr:row>
      <xdr:rowOff>0</xdr:rowOff>
    </xdr:from>
    <xdr:to>
      <xdr:col>2</xdr:col>
      <xdr:colOff>152400</xdr:colOff>
      <xdr:row>11</xdr:row>
      <xdr:rowOff>209550</xdr:rowOff>
    </xdr:to>
    <xdr:pic>
      <xdr:nvPicPr>
        <xdr:cNvPr id="2150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181475" y="6162675"/>
          <a:ext cx="152400" cy="209550"/>
        </a:xfrm>
        <a:prstGeom prst="rect">
          <a:avLst/>
        </a:prstGeom>
        <a:solidFill>
          <a:srgbClr val="FFFFFF"/>
        </a:solidFill>
        <a:ln w="9525">
          <a:noFill/>
          <a:miter lim="800000"/>
          <a:headEnd/>
          <a:tailEnd/>
        </a:ln>
      </xdr:spPr>
    </xdr:pic>
    <xdr:clientData/>
  </xdr:twoCellAnchor>
  <xdr:twoCellAnchor>
    <xdr:from>
      <xdr:col>1</xdr:col>
      <xdr:colOff>0</xdr:colOff>
      <xdr:row>13</xdr:row>
      <xdr:rowOff>0</xdr:rowOff>
    </xdr:from>
    <xdr:to>
      <xdr:col>1</xdr:col>
      <xdr:colOff>323850</xdr:colOff>
      <xdr:row>14</xdr:row>
      <xdr:rowOff>57150</xdr:rowOff>
    </xdr:to>
    <xdr:pic>
      <xdr:nvPicPr>
        <xdr:cNvPr id="21507"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752475" y="6924675"/>
          <a:ext cx="323850" cy="219075"/>
        </a:xfrm>
        <a:prstGeom prst="rect">
          <a:avLst/>
        </a:prstGeom>
        <a:solidFill>
          <a:srgbClr val="FFFFFF"/>
        </a:solidFill>
        <a:ln w="9525">
          <a:noFill/>
          <a:miter lim="800000"/>
          <a:headEnd/>
          <a:tailEnd/>
        </a:ln>
      </xdr:spPr>
    </xdr:pic>
    <xdr:clientData/>
  </xdr:twoCellAnchor>
  <xdr:twoCellAnchor>
    <xdr:from>
      <xdr:col>2</xdr:col>
      <xdr:colOff>0</xdr:colOff>
      <xdr:row>14</xdr:row>
      <xdr:rowOff>0</xdr:rowOff>
    </xdr:from>
    <xdr:to>
      <xdr:col>2</xdr:col>
      <xdr:colOff>152400</xdr:colOff>
      <xdr:row>14</xdr:row>
      <xdr:rowOff>209550</xdr:rowOff>
    </xdr:to>
    <xdr:pic>
      <xdr:nvPicPr>
        <xdr:cNvPr id="21508"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181475" y="7086600"/>
          <a:ext cx="152400" cy="209550"/>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4</xdr:row>
      <xdr:rowOff>152400</xdr:rowOff>
    </xdr:from>
    <xdr:to>
      <xdr:col>3</xdr:col>
      <xdr:colOff>180975</xdr:colOff>
      <xdr:row>6</xdr:row>
      <xdr:rowOff>57150</xdr:rowOff>
    </xdr:to>
    <xdr:pic>
      <xdr:nvPicPr>
        <xdr:cNvPr id="1126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3375" y="1047750"/>
          <a:ext cx="1771650" cy="228600"/>
        </a:xfrm>
        <a:prstGeom prst="rect">
          <a:avLst/>
        </a:prstGeom>
        <a:solidFill>
          <a:srgbClr val="FFFFFF"/>
        </a:solidFill>
        <a:ln w="9525">
          <a:noFill/>
          <a:miter lim="800000"/>
          <a:headEnd/>
          <a:tailEnd/>
        </a:ln>
      </xdr:spPr>
    </xdr:pic>
    <xdr:clientData/>
  </xdr:twoCellAnchor>
  <xdr:twoCellAnchor>
    <xdr:from>
      <xdr:col>0</xdr:col>
      <xdr:colOff>0</xdr:colOff>
      <xdr:row>17</xdr:row>
      <xdr:rowOff>0</xdr:rowOff>
    </xdr:from>
    <xdr:to>
      <xdr:col>0</xdr:col>
      <xdr:colOff>219075</xdr:colOff>
      <xdr:row>17</xdr:row>
      <xdr:rowOff>47625</xdr:rowOff>
    </xdr:to>
    <xdr:pic>
      <xdr:nvPicPr>
        <xdr:cNvPr id="11267"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0" y="4010025"/>
          <a:ext cx="219075" cy="47625"/>
        </a:xfrm>
        <a:prstGeom prst="rect">
          <a:avLst/>
        </a:prstGeom>
        <a:solidFill>
          <a:srgbClr val="FFFFFF"/>
        </a:solidFill>
        <a:ln w="9525">
          <a:noFill/>
          <a:miter lim="800000"/>
          <a:headEnd/>
          <a:tailEnd/>
        </a:ln>
      </xdr:spPr>
    </xdr:pic>
    <xdr:clientData/>
  </xdr:twoCellAnchor>
  <xdr:twoCellAnchor>
    <xdr:from>
      <xdr:col>0</xdr:col>
      <xdr:colOff>0</xdr:colOff>
      <xdr:row>18</xdr:row>
      <xdr:rowOff>0</xdr:rowOff>
    </xdr:from>
    <xdr:to>
      <xdr:col>0</xdr:col>
      <xdr:colOff>304800</xdr:colOff>
      <xdr:row>18</xdr:row>
      <xdr:rowOff>66675</xdr:rowOff>
    </xdr:to>
    <xdr:pic>
      <xdr:nvPicPr>
        <xdr:cNvPr id="11268" name="Picture 16"/>
        <xdr:cNvPicPr>
          <a:picLocks noChangeAspect="1" noChangeArrowheads="1"/>
        </xdr:cNvPicPr>
      </xdr:nvPicPr>
      <xdr:blipFill>
        <a:blip xmlns:r="http://schemas.openxmlformats.org/officeDocument/2006/relationships" r:embed="rId3" cstate="print"/>
        <a:srcRect/>
        <a:stretch>
          <a:fillRect/>
        </a:stretch>
      </xdr:blipFill>
      <xdr:spPr bwMode="auto">
        <a:xfrm>
          <a:off x="0" y="4905375"/>
          <a:ext cx="304800" cy="66675"/>
        </a:xfrm>
        <a:prstGeom prst="rect">
          <a:avLst/>
        </a:prstGeom>
        <a:solidFill>
          <a:srgbClr val="FFFFFF"/>
        </a:solidFill>
        <a:ln w="9525">
          <a:noFill/>
          <a:miter lim="800000"/>
          <a:headEnd/>
          <a:tailEnd/>
        </a:ln>
      </xdr:spPr>
    </xdr:pic>
    <xdr:clientData/>
  </xdr:twoCellAnchor>
  <xdr:twoCellAnchor>
    <xdr:from>
      <xdr:col>0</xdr:col>
      <xdr:colOff>0</xdr:colOff>
      <xdr:row>19</xdr:row>
      <xdr:rowOff>0</xdr:rowOff>
    </xdr:from>
    <xdr:to>
      <xdr:col>0</xdr:col>
      <xdr:colOff>304800</xdr:colOff>
      <xdr:row>19</xdr:row>
      <xdr:rowOff>47625</xdr:rowOff>
    </xdr:to>
    <xdr:pic>
      <xdr:nvPicPr>
        <xdr:cNvPr id="11269" name="Picture 15"/>
        <xdr:cNvPicPr>
          <a:picLocks noChangeAspect="1" noChangeArrowheads="1"/>
        </xdr:cNvPicPr>
      </xdr:nvPicPr>
      <xdr:blipFill>
        <a:blip xmlns:r="http://schemas.openxmlformats.org/officeDocument/2006/relationships" r:embed="rId4" cstate="print"/>
        <a:srcRect/>
        <a:stretch>
          <a:fillRect/>
        </a:stretch>
      </xdr:blipFill>
      <xdr:spPr bwMode="auto">
        <a:xfrm>
          <a:off x="0" y="5591175"/>
          <a:ext cx="304800" cy="47625"/>
        </a:xfrm>
        <a:prstGeom prst="rect">
          <a:avLst/>
        </a:prstGeom>
        <a:solidFill>
          <a:srgbClr val="FFFFFF"/>
        </a:solidFill>
        <a:ln w="9525">
          <a:noFill/>
          <a:miter lim="800000"/>
          <a:headEnd/>
          <a:tailEnd/>
        </a:ln>
      </xdr:spPr>
    </xdr:pic>
    <xdr:clientData/>
  </xdr:twoCellAnchor>
  <xdr:twoCellAnchor>
    <xdr:from>
      <xdr:col>0</xdr:col>
      <xdr:colOff>0</xdr:colOff>
      <xdr:row>20</xdr:row>
      <xdr:rowOff>0</xdr:rowOff>
    </xdr:from>
    <xdr:to>
      <xdr:col>0</xdr:col>
      <xdr:colOff>323850</xdr:colOff>
      <xdr:row>20</xdr:row>
      <xdr:rowOff>66675</xdr:rowOff>
    </xdr:to>
    <xdr:pic>
      <xdr:nvPicPr>
        <xdr:cNvPr id="11270" name="Picture 13"/>
        <xdr:cNvPicPr>
          <a:picLocks noChangeAspect="1" noChangeArrowheads="1"/>
        </xdr:cNvPicPr>
      </xdr:nvPicPr>
      <xdr:blipFill>
        <a:blip xmlns:r="http://schemas.openxmlformats.org/officeDocument/2006/relationships" r:embed="rId5" cstate="print"/>
        <a:srcRect/>
        <a:stretch>
          <a:fillRect/>
        </a:stretch>
      </xdr:blipFill>
      <xdr:spPr bwMode="auto">
        <a:xfrm>
          <a:off x="0" y="6000750"/>
          <a:ext cx="323850" cy="66675"/>
        </a:xfrm>
        <a:prstGeom prst="rect">
          <a:avLst/>
        </a:prstGeom>
        <a:solidFill>
          <a:srgbClr val="FFFFFF"/>
        </a:solidFill>
        <a:ln w="9525">
          <a:noFill/>
          <a:miter lim="800000"/>
          <a:headEnd/>
          <a:tailEnd/>
        </a:ln>
      </xdr:spPr>
    </xdr:pic>
    <xdr:clientData/>
  </xdr:twoCellAnchor>
  <xdr:twoCellAnchor>
    <xdr:from>
      <xdr:col>0</xdr:col>
      <xdr:colOff>0</xdr:colOff>
      <xdr:row>21</xdr:row>
      <xdr:rowOff>0</xdr:rowOff>
    </xdr:from>
    <xdr:to>
      <xdr:col>0</xdr:col>
      <xdr:colOff>285750</xdr:colOff>
      <xdr:row>21</xdr:row>
      <xdr:rowOff>38100</xdr:rowOff>
    </xdr:to>
    <xdr:pic>
      <xdr:nvPicPr>
        <xdr:cNvPr id="11271" name="Picture 11"/>
        <xdr:cNvPicPr>
          <a:picLocks noChangeAspect="1" noChangeArrowheads="1"/>
        </xdr:cNvPicPr>
      </xdr:nvPicPr>
      <xdr:blipFill>
        <a:blip xmlns:r="http://schemas.openxmlformats.org/officeDocument/2006/relationships" r:embed="rId6" cstate="print"/>
        <a:srcRect/>
        <a:stretch>
          <a:fillRect/>
        </a:stretch>
      </xdr:blipFill>
      <xdr:spPr bwMode="auto">
        <a:xfrm>
          <a:off x="0" y="6410325"/>
          <a:ext cx="285750" cy="38100"/>
        </a:xfrm>
        <a:prstGeom prst="rect">
          <a:avLst/>
        </a:prstGeom>
        <a:solidFill>
          <a:srgbClr val="FFFFFF"/>
        </a:solidFill>
        <a:ln w="9525">
          <a:noFill/>
          <a:miter lim="800000"/>
          <a:headEnd/>
          <a:tailEnd/>
        </a:ln>
      </xdr:spPr>
    </xdr:pic>
    <xdr:clientData/>
  </xdr:twoCellAnchor>
  <xdr:twoCellAnchor>
    <xdr:from>
      <xdr:col>0</xdr:col>
      <xdr:colOff>0</xdr:colOff>
      <xdr:row>22</xdr:row>
      <xdr:rowOff>0</xdr:rowOff>
    </xdr:from>
    <xdr:to>
      <xdr:col>0</xdr:col>
      <xdr:colOff>285750</xdr:colOff>
      <xdr:row>22</xdr:row>
      <xdr:rowOff>38100</xdr:rowOff>
    </xdr:to>
    <xdr:pic>
      <xdr:nvPicPr>
        <xdr:cNvPr id="11272" name="Picture 9"/>
        <xdr:cNvPicPr>
          <a:picLocks noChangeAspect="1" noChangeArrowheads="1"/>
        </xdr:cNvPicPr>
      </xdr:nvPicPr>
      <xdr:blipFill>
        <a:blip xmlns:r="http://schemas.openxmlformats.org/officeDocument/2006/relationships" r:embed="rId6" cstate="print"/>
        <a:srcRect/>
        <a:stretch>
          <a:fillRect/>
        </a:stretch>
      </xdr:blipFill>
      <xdr:spPr bwMode="auto">
        <a:xfrm>
          <a:off x="0" y="6819900"/>
          <a:ext cx="285750" cy="38100"/>
        </a:xfrm>
        <a:prstGeom prst="rect">
          <a:avLst/>
        </a:prstGeom>
        <a:solidFill>
          <a:srgbClr val="FFFFFF"/>
        </a:solidFill>
        <a:ln w="9525">
          <a:noFill/>
          <a:miter lim="800000"/>
          <a:headEnd/>
          <a:tailEnd/>
        </a:ln>
      </xdr:spPr>
    </xdr:pic>
    <xdr:clientData/>
  </xdr:twoCellAnchor>
  <xdr:twoCellAnchor>
    <xdr:from>
      <xdr:col>0</xdr:col>
      <xdr:colOff>0</xdr:colOff>
      <xdr:row>23</xdr:row>
      <xdr:rowOff>0</xdr:rowOff>
    </xdr:from>
    <xdr:to>
      <xdr:col>0</xdr:col>
      <xdr:colOff>304800</xdr:colOff>
      <xdr:row>23</xdr:row>
      <xdr:rowOff>47625</xdr:rowOff>
    </xdr:to>
    <xdr:pic>
      <xdr:nvPicPr>
        <xdr:cNvPr id="11273" name="Picture 8"/>
        <xdr:cNvPicPr>
          <a:picLocks noChangeAspect="1" noChangeArrowheads="1"/>
        </xdr:cNvPicPr>
      </xdr:nvPicPr>
      <xdr:blipFill>
        <a:blip xmlns:r="http://schemas.openxmlformats.org/officeDocument/2006/relationships" r:embed="rId7" cstate="print"/>
        <a:srcRect/>
        <a:stretch>
          <a:fillRect/>
        </a:stretch>
      </xdr:blipFill>
      <xdr:spPr bwMode="auto">
        <a:xfrm>
          <a:off x="0" y="7391400"/>
          <a:ext cx="304800" cy="47625"/>
        </a:xfrm>
        <a:prstGeom prst="rect">
          <a:avLst/>
        </a:prstGeom>
        <a:solidFill>
          <a:srgbClr val="FFFFFF"/>
        </a:solidFill>
        <a:ln w="9525">
          <a:noFill/>
          <a:miter lim="800000"/>
          <a:headEnd/>
          <a:tailEnd/>
        </a:ln>
      </xdr:spPr>
    </xdr:pic>
    <xdr:clientData/>
  </xdr:twoCellAnchor>
  <xdr:twoCellAnchor>
    <xdr:from>
      <xdr:col>0</xdr:col>
      <xdr:colOff>0</xdr:colOff>
      <xdr:row>31</xdr:row>
      <xdr:rowOff>0</xdr:rowOff>
    </xdr:from>
    <xdr:to>
      <xdr:col>0</xdr:col>
      <xdr:colOff>304800</xdr:colOff>
      <xdr:row>31</xdr:row>
      <xdr:rowOff>47625</xdr:rowOff>
    </xdr:to>
    <xdr:pic>
      <xdr:nvPicPr>
        <xdr:cNvPr id="11274" name="Picture 41"/>
        <xdr:cNvPicPr>
          <a:picLocks noChangeAspect="1" noChangeArrowheads="1"/>
        </xdr:cNvPicPr>
      </xdr:nvPicPr>
      <xdr:blipFill>
        <a:blip xmlns:r="http://schemas.openxmlformats.org/officeDocument/2006/relationships" r:embed="rId7" cstate="print"/>
        <a:srcRect/>
        <a:stretch>
          <a:fillRect/>
        </a:stretch>
      </xdr:blipFill>
      <xdr:spPr bwMode="auto">
        <a:xfrm>
          <a:off x="0" y="12353925"/>
          <a:ext cx="304800" cy="47625"/>
        </a:xfrm>
        <a:prstGeom prst="rect">
          <a:avLst/>
        </a:prstGeom>
        <a:solidFill>
          <a:srgbClr val="FFFFFF"/>
        </a:solidFill>
        <a:ln w="9525">
          <a:noFill/>
          <a:miter lim="800000"/>
          <a:headEnd/>
          <a:tailEnd/>
        </a:ln>
      </xdr:spPr>
    </xdr:pic>
    <xdr:clientData/>
  </xdr:twoCellAnchor>
  <xdr:twoCellAnchor>
    <xdr:from>
      <xdr:col>0</xdr:col>
      <xdr:colOff>0</xdr:colOff>
      <xdr:row>32</xdr:row>
      <xdr:rowOff>0</xdr:rowOff>
    </xdr:from>
    <xdr:to>
      <xdr:col>0</xdr:col>
      <xdr:colOff>304800</xdr:colOff>
      <xdr:row>32</xdr:row>
      <xdr:rowOff>47625</xdr:rowOff>
    </xdr:to>
    <xdr:pic>
      <xdr:nvPicPr>
        <xdr:cNvPr id="11275" name="Picture 40"/>
        <xdr:cNvPicPr>
          <a:picLocks noChangeAspect="1" noChangeArrowheads="1"/>
        </xdr:cNvPicPr>
      </xdr:nvPicPr>
      <xdr:blipFill>
        <a:blip xmlns:r="http://schemas.openxmlformats.org/officeDocument/2006/relationships" r:embed="rId8" cstate="print"/>
        <a:srcRect/>
        <a:stretch>
          <a:fillRect/>
        </a:stretch>
      </xdr:blipFill>
      <xdr:spPr bwMode="auto">
        <a:xfrm>
          <a:off x="0" y="12954000"/>
          <a:ext cx="304800" cy="47625"/>
        </a:xfrm>
        <a:prstGeom prst="rect">
          <a:avLst/>
        </a:prstGeom>
        <a:solidFill>
          <a:srgbClr val="FFFFFF"/>
        </a:solidFill>
        <a:ln w="9525">
          <a:noFill/>
          <a:miter lim="800000"/>
          <a:headEnd/>
          <a:tailEnd/>
        </a:ln>
      </xdr:spPr>
    </xdr:pic>
    <xdr:clientData/>
  </xdr:twoCellAnchor>
  <xdr:twoCellAnchor>
    <xdr:from>
      <xdr:col>0</xdr:col>
      <xdr:colOff>0</xdr:colOff>
      <xdr:row>33</xdr:row>
      <xdr:rowOff>0</xdr:rowOff>
    </xdr:from>
    <xdr:to>
      <xdr:col>0</xdr:col>
      <xdr:colOff>257175</xdr:colOff>
      <xdr:row>33</xdr:row>
      <xdr:rowOff>47625</xdr:rowOff>
    </xdr:to>
    <xdr:pic>
      <xdr:nvPicPr>
        <xdr:cNvPr id="11276" name="Picture 39"/>
        <xdr:cNvPicPr>
          <a:picLocks noChangeAspect="1" noChangeArrowheads="1"/>
        </xdr:cNvPicPr>
      </xdr:nvPicPr>
      <xdr:blipFill>
        <a:blip xmlns:r="http://schemas.openxmlformats.org/officeDocument/2006/relationships" r:embed="rId9" cstate="print"/>
        <a:srcRect/>
        <a:stretch>
          <a:fillRect/>
        </a:stretch>
      </xdr:blipFill>
      <xdr:spPr bwMode="auto">
        <a:xfrm>
          <a:off x="0" y="13544550"/>
          <a:ext cx="257175" cy="47625"/>
        </a:xfrm>
        <a:prstGeom prst="rect">
          <a:avLst/>
        </a:prstGeom>
        <a:solidFill>
          <a:srgbClr val="FFFFFF"/>
        </a:solidFill>
        <a:ln w="9525">
          <a:noFill/>
          <a:miter lim="800000"/>
          <a:headEnd/>
          <a:tailEnd/>
        </a:ln>
      </xdr:spPr>
    </xdr:pic>
    <xdr:clientData/>
  </xdr:twoCellAnchor>
  <xdr:twoCellAnchor>
    <xdr:from>
      <xdr:col>14</xdr:col>
      <xdr:colOff>0</xdr:colOff>
      <xdr:row>22</xdr:row>
      <xdr:rowOff>0</xdr:rowOff>
    </xdr:from>
    <xdr:to>
      <xdr:col>16</xdr:col>
      <xdr:colOff>161925</xdr:colOff>
      <xdr:row>22</xdr:row>
      <xdr:rowOff>238125</xdr:rowOff>
    </xdr:to>
    <xdr:pic>
      <xdr:nvPicPr>
        <xdr:cNvPr id="11277" name="Picture 47"/>
        <xdr:cNvPicPr>
          <a:picLocks noChangeAspect="1" noChangeArrowheads="1"/>
        </xdr:cNvPicPr>
      </xdr:nvPicPr>
      <xdr:blipFill>
        <a:blip xmlns:r="http://schemas.openxmlformats.org/officeDocument/2006/relationships" r:embed="rId10" cstate="print"/>
        <a:srcRect/>
        <a:stretch>
          <a:fillRect/>
        </a:stretch>
      </xdr:blipFill>
      <xdr:spPr bwMode="auto">
        <a:xfrm>
          <a:off x="8791575" y="6819900"/>
          <a:ext cx="1381125" cy="238125"/>
        </a:xfrm>
        <a:prstGeom prst="rect">
          <a:avLst/>
        </a:prstGeom>
        <a:solidFill>
          <a:srgbClr val="FFFFFF"/>
        </a:solidFill>
        <a:ln w="9525">
          <a:noFill/>
          <a:miter lim="800000"/>
          <a:headEnd/>
          <a:tailEnd/>
        </a:ln>
      </xdr:spPr>
    </xdr:pic>
    <xdr:clientData/>
  </xdr:twoCellAnchor>
  <xdr:twoCellAnchor>
    <xdr:from>
      <xdr:col>13</xdr:col>
      <xdr:colOff>533400</xdr:colOff>
      <xdr:row>22</xdr:row>
      <xdr:rowOff>428625</xdr:rowOff>
    </xdr:from>
    <xdr:to>
      <xdr:col>16</xdr:col>
      <xdr:colOff>257175</xdr:colOff>
      <xdr:row>23</xdr:row>
      <xdr:rowOff>114300</xdr:rowOff>
    </xdr:to>
    <xdr:pic>
      <xdr:nvPicPr>
        <xdr:cNvPr id="11278" name="Picture 46"/>
        <xdr:cNvPicPr>
          <a:picLocks noChangeAspect="1" noChangeArrowheads="1"/>
        </xdr:cNvPicPr>
      </xdr:nvPicPr>
      <xdr:blipFill>
        <a:blip xmlns:r="http://schemas.openxmlformats.org/officeDocument/2006/relationships" r:embed="rId11" cstate="print"/>
        <a:srcRect/>
        <a:stretch>
          <a:fillRect/>
        </a:stretch>
      </xdr:blipFill>
      <xdr:spPr bwMode="auto">
        <a:xfrm>
          <a:off x="8715375" y="7248525"/>
          <a:ext cx="1552575" cy="257175"/>
        </a:xfrm>
        <a:prstGeom prst="rect">
          <a:avLst/>
        </a:prstGeom>
        <a:solidFill>
          <a:srgbClr val="FFFFFF"/>
        </a:solidFill>
        <a:ln w="9525">
          <a:noFill/>
          <a:miter lim="800000"/>
          <a:headEnd/>
          <a:tailEnd/>
        </a:ln>
      </xdr:spPr>
    </xdr:pic>
    <xdr:clientData/>
  </xdr:twoCellAnchor>
  <xdr:twoCellAnchor>
    <xdr:from>
      <xdr:col>14</xdr:col>
      <xdr:colOff>0</xdr:colOff>
      <xdr:row>23</xdr:row>
      <xdr:rowOff>314325</xdr:rowOff>
    </xdr:from>
    <xdr:to>
      <xdr:col>16</xdr:col>
      <xdr:colOff>314325</xdr:colOff>
      <xdr:row>23</xdr:row>
      <xdr:rowOff>552450</xdr:rowOff>
    </xdr:to>
    <xdr:pic>
      <xdr:nvPicPr>
        <xdr:cNvPr id="11279" name="Picture 45"/>
        <xdr:cNvPicPr>
          <a:picLocks noChangeAspect="1" noChangeArrowheads="1"/>
        </xdr:cNvPicPr>
      </xdr:nvPicPr>
      <xdr:blipFill>
        <a:blip xmlns:r="http://schemas.openxmlformats.org/officeDocument/2006/relationships" r:embed="rId12" cstate="print"/>
        <a:srcRect/>
        <a:stretch>
          <a:fillRect/>
        </a:stretch>
      </xdr:blipFill>
      <xdr:spPr bwMode="auto">
        <a:xfrm>
          <a:off x="8791575" y="7705725"/>
          <a:ext cx="1533525" cy="238125"/>
        </a:xfrm>
        <a:prstGeom prst="rect">
          <a:avLst/>
        </a:prstGeom>
        <a:solidFill>
          <a:srgbClr val="FFFFFF"/>
        </a:solidFill>
        <a:ln w="9525">
          <a:noFill/>
          <a:miter lim="800000"/>
          <a:headEnd/>
          <a:tailEnd/>
        </a:ln>
      </xdr:spPr>
    </xdr:pic>
    <xdr:clientData/>
  </xdr:twoCellAnchor>
  <xdr:twoCellAnchor>
    <xdr:from>
      <xdr:col>14</xdr:col>
      <xdr:colOff>0</xdr:colOff>
      <xdr:row>17</xdr:row>
      <xdr:rowOff>0</xdr:rowOff>
    </xdr:from>
    <xdr:to>
      <xdr:col>18</xdr:col>
      <xdr:colOff>47625</xdr:colOff>
      <xdr:row>17</xdr:row>
      <xdr:rowOff>238125</xdr:rowOff>
    </xdr:to>
    <xdr:pic>
      <xdr:nvPicPr>
        <xdr:cNvPr id="11280" name="Picture 51"/>
        <xdr:cNvPicPr>
          <a:picLocks noChangeAspect="1" noChangeArrowheads="1"/>
        </xdr:cNvPicPr>
      </xdr:nvPicPr>
      <xdr:blipFill>
        <a:blip xmlns:r="http://schemas.openxmlformats.org/officeDocument/2006/relationships" r:embed="rId13" cstate="print"/>
        <a:srcRect/>
        <a:stretch>
          <a:fillRect/>
        </a:stretch>
      </xdr:blipFill>
      <xdr:spPr bwMode="auto">
        <a:xfrm>
          <a:off x="8791575" y="4010025"/>
          <a:ext cx="2486025" cy="238125"/>
        </a:xfrm>
        <a:prstGeom prst="rect">
          <a:avLst/>
        </a:prstGeom>
        <a:solidFill>
          <a:srgbClr val="FFFFFF"/>
        </a:solidFill>
        <a:ln w="9525">
          <a:noFill/>
          <a:miter lim="800000"/>
          <a:headEnd/>
          <a:tailEnd/>
        </a:ln>
      </xdr:spPr>
    </xdr:pic>
    <xdr:clientData/>
  </xdr:twoCellAnchor>
  <xdr:twoCellAnchor>
    <xdr:from>
      <xdr:col>13</xdr:col>
      <xdr:colOff>581025</xdr:colOff>
      <xdr:row>17</xdr:row>
      <xdr:rowOff>342900</xdr:rowOff>
    </xdr:from>
    <xdr:to>
      <xdr:col>18</xdr:col>
      <xdr:colOff>276225</xdr:colOff>
      <xdr:row>17</xdr:row>
      <xdr:rowOff>600075</xdr:rowOff>
    </xdr:to>
    <xdr:pic>
      <xdr:nvPicPr>
        <xdr:cNvPr id="11281" name="Picture 52"/>
        <xdr:cNvPicPr>
          <a:picLocks noChangeAspect="1" noChangeArrowheads="1"/>
        </xdr:cNvPicPr>
      </xdr:nvPicPr>
      <xdr:blipFill>
        <a:blip xmlns:r="http://schemas.openxmlformats.org/officeDocument/2006/relationships" r:embed="rId14" cstate="print"/>
        <a:srcRect/>
        <a:stretch>
          <a:fillRect/>
        </a:stretch>
      </xdr:blipFill>
      <xdr:spPr bwMode="auto">
        <a:xfrm>
          <a:off x="8763000" y="4352925"/>
          <a:ext cx="2743200" cy="257175"/>
        </a:xfrm>
        <a:prstGeom prst="rect">
          <a:avLst/>
        </a:prstGeom>
        <a:solidFill>
          <a:srgbClr val="FFFFFF"/>
        </a:solidFill>
        <a:ln w="9525">
          <a:noFill/>
          <a:miter lim="800000"/>
          <a:headEnd/>
          <a:tailEnd/>
        </a:ln>
      </xdr:spPr>
    </xdr:pic>
    <xdr:clientData/>
  </xdr:twoCellAnchor>
  <xdr:twoCellAnchor>
    <xdr:from>
      <xdr:col>13</xdr:col>
      <xdr:colOff>600075</xdr:colOff>
      <xdr:row>17</xdr:row>
      <xdr:rowOff>762000</xdr:rowOff>
    </xdr:from>
    <xdr:to>
      <xdr:col>18</xdr:col>
      <xdr:colOff>266700</xdr:colOff>
      <xdr:row>17</xdr:row>
      <xdr:rowOff>1000125</xdr:rowOff>
    </xdr:to>
    <xdr:pic>
      <xdr:nvPicPr>
        <xdr:cNvPr id="11282" name="Picture 53"/>
        <xdr:cNvPicPr>
          <a:picLocks noChangeAspect="1" noChangeArrowheads="1"/>
        </xdr:cNvPicPr>
      </xdr:nvPicPr>
      <xdr:blipFill>
        <a:blip xmlns:r="http://schemas.openxmlformats.org/officeDocument/2006/relationships" r:embed="rId15" cstate="print"/>
        <a:srcRect/>
        <a:stretch>
          <a:fillRect/>
        </a:stretch>
      </xdr:blipFill>
      <xdr:spPr bwMode="auto">
        <a:xfrm>
          <a:off x="8782050" y="4772025"/>
          <a:ext cx="2714625" cy="133350"/>
        </a:xfrm>
        <a:prstGeom prst="rect">
          <a:avLst/>
        </a:prstGeom>
        <a:solidFill>
          <a:srgbClr val="FFFFFF"/>
        </a:solidFill>
        <a:ln w="9525">
          <a:noFill/>
          <a:miter lim="800000"/>
          <a:headEnd/>
          <a:tailEnd/>
        </a:ln>
      </xdr:spPr>
    </xdr:pic>
    <xdr:clientData/>
  </xdr:twoCellAnchor>
  <xdr:twoCellAnchor>
    <xdr:from>
      <xdr:col>13</xdr:col>
      <xdr:colOff>466725</xdr:colOff>
      <xdr:row>31</xdr:row>
      <xdr:rowOff>561975</xdr:rowOff>
    </xdr:from>
    <xdr:to>
      <xdr:col>16</xdr:col>
      <xdr:colOff>314325</xdr:colOff>
      <xdr:row>32</xdr:row>
      <xdr:rowOff>190500</xdr:rowOff>
    </xdr:to>
    <xdr:pic>
      <xdr:nvPicPr>
        <xdr:cNvPr id="11283"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8648700" y="12915900"/>
          <a:ext cx="1676400" cy="2286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45;&#1048;&#1040;&#1057;\&#1054;&#1090;&#1087;&#1088;&#1072;&#1074;&#1083;&#1077;&#1085;&#1085;&#1099;&#1077;\2015\EE.OPEN.INFO.REQUEST%20&#1085;&#1072;%202016_16%2004%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smenergo.ru/filedbdata/129777496729610/&#1090;&#1072;&#1073;&#1083;&#1080;&#1094;&#1099;%20&#1090;&#1088;&#1072;&#1085;&#1079;&#1080;&#1090;%20&#1069;&#1069;%202011%20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Тарифы"/>
      <sheetName val="Параметры"/>
      <sheetName val="Ссылки на публикации"/>
      <sheetName val="Комментарии"/>
      <sheetName val="Проверка"/>
      <sheetName val="AllSheetsInThisWorkbook"/>
      <sheetName val="TEHSHEET"/>
      <sheetName val="et_union"/>
      <sheetName val="modProv"/>
      <sheetName val="modReestr"/>
      <sheetName val="modfrmReestr"/>
      <sheetName val="modUpdTemplMain"/>
      <sheetName val="REESTR_ORG"/>
      <sheetName val="modClassifierValidate"/>
      <sheetName val="modHyp"/>
      <sheetName val="modList00"/>
      <sheetName val="modList01"/>
      <sheetName val="modList02"/>
      <sheetName val="modList03"/>
      <sheetName val="modfrmDateChoose"/>
      <sheetName val="modComm"/>
      <sheetName val="modThisWorkbook"/>
      <sheetName val="modfrmCheckUpdates"/>
      <sheetName val="modInfo"/>
    </sheetNames>
    <sheetDataSet>
      <sheetData sheetId="0"/>
      <sheetData sheetId="1"/>
      <sheetData sheetId="2"/>
      <sheetData sheetId="3">
        <row r="13">
          <cell r="F13" t="str">
            <v>2016</v>
          </cell>
        </row>
        <row r="17">
          <cell r="F17" t="str">
            <v>ООО "Ростсельмашэнерго"</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5 ЭЭ (2)"/>
      <sheetName val="Лист1"/>
      <sheetName val="1"/>
      <sheetName val="2"/>
      <sheetName val="3"/>
      <sheetName val="4"/>
      <sheetName val="5"/>
      <sheetName val="6"/>
      <sheetName val="7"/>
      <sheetName val="8"/>
      <sheetName val="9"/>
      <sheetName val="10"/>
      <sheetName val="11"/>
      <sheetName val="12"/>
      <sheetName val="13"/>
      <sheetName val="14"/>
      <sheetName val="15"/>
      <sheetName val="подряд"/>
      <sheetName val="мат"/>
      <sheetName val="аморт"/>
      <sheetName val="налог на землю"/>
      <sheetName val="опрцэ"/>
      <sheetName val="охр"/>
      <sheetName val="сиз"/>
      <sheetName val="гсм"/>
      <sheetName val="16"/>
      <sheetName val="17"/>
      <sheetName val="17.1"/>
      <sheetName val="18"/>
      <sheetName val="18.1"/>
      <sheetName val="18.2"/>
      <sheetName val="19"/>
      <sheetName val="19.1"/>
      <sheetName val="19.2"/>
      <sheetName val="20"/>
      <sheetName val="20.1.3-4"/>
      <sheetName val="21"/>
      <sheetName val="21.1"/>
      <sheetName val="21.2"/>
      <sheetName val="21.3"/>
      <sheetName val="21.4"/>
      <sheetName val="22"/>
      <sheetName val="23"/>
      <sheetName val="24"/>
      <sheetName val="24.1"/>
      <sheetName val="25"/>
      <sheetName val="26"/>
      <sheetName val="27"/>
      <sheetName val="28"/>
      <sheetName val="28.1"/>
      <sheetName val="28.2"/>
      <sheetName val="П1.28.3"/>
      <sheetName val="29"/>
      <sheetName val="1.30"/>
      <sheetName val="перечень материалов"/>
      <sheetName val="Лист2"/>
      <sheetName val="2.1"/>
    </sheetNames>
    <sheetDataSet>
      <sheetData sheetId="0">
        <row r="14">
          <cell r="F14">
            <v>1328.9192</v>
          </cell>
        </row>
        <row r="17">
          <cell r="F17">
            <v>24419.467942892647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zakupki.gov.ru/223/clause/public/order-clause/info/documents.html?clauseId=11087&amp;clauseInfoId=239926&amp;versioned=&amp;activeTab=1" TargetMode="External"/><Relationship Id="rId2" Type="http://schemas.openxmlformats.org/officeDocument/2006/relationships/hyperlink" Target="http://www.rsmenergo.ru/" TargetMode="External"/><Relationship Id="rId1" Type="http://schemas.openxmlformats.org/officeDocument/2006/relationships/hyperlink" Target="../SokolovMN/Application%20Data/Microsoft/Excel/&#1056;&#1072;&#1089;&#1082;&#1088;&#1099;&#1090;&#1080;&#1077;%20&#1080;&#1085;&#1092;&#1086;&#1088;&#1084;&#1072;&#1094;&#1080;&#1080;%20&#1087;&#1086;%20&#1090;&#1088;&#1072;&#1085;&#1079;&#1080;&#1090;&#1091;.xls" TargetMode="External"/><Relationship Id="rId5" Type="http://schemas.openxmlformats.org/officeDocument/2006/relationships/printerSettings" Target="../printerSettings/printerSettings1.bin"/><Relationship Id="rId4" Type="http://schemas.openxmlformats.org/officeDocument/2006/relationships/hyperlink" Target="http://www.rsmenergo.ru/zayavk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rsmenergo.ru/raskrytie/ooo-rostselmashenergo"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zakupki.gov.ru/223/purchase/public/purchase/info/common-info.html?noticeId=2119982&amp;epz=true&amp;style44=false" TargetMode="External"/><Relationship Id="rId13" Type="http://schemas.openxmlformats.org/officeDocument/2006/relationships/hyperlink" Target="http://zakupki.gov.ru/223/purchase/public/purchase/info/common-info.html?noticeId=2206959&amp;epz=true&amp;style44=false" TargetMode="External"/><Relationship Id="rId3" Type="http://schemas.openxmlformats.org/officeDocument/2006/relationships/hyperlink" Target="http://zakupki.gov.ru/223/purchase/public/purchase/info/common-info.html?noticeId=2796282&amp;epz=true&amp;style44=false" TargetMode="External"/><Relationship Id="rId7" Type="http://schemas.openxmlformats.org/officeDocument/2006/relationships/hyperlink" Target="http://zakupki.gov.ru/223/purchase/public/purchase/info/common-info.html?noticeId=2373939&amp;epz=true&amp;style44=false" TargetMode="External"/><Relationship Id="rId12" Type="http://schemas.openxmlformats.org/officeDocument/2006/relationships/hyperlink" Target="http://zakupki.gov.ru/223/purchase/public/purchase/info/common-info.html?noticeId=2848807&amp;epz=true&amp;style44=false" TargetMode="External"/><Relationship Id="rId17" Type="http://schemas.openxmlformats.org/officeDocument/2006/relationships/printerSettings" Target="../printerSettings/printerSettings23.bin"/><Relationship Id="rId2" Type="http://schemas.openxmlformats.org/officeDocument/2006/relationships/hyperlink" Target="http://zakupki.gov.ru/223/purchase/public/purchase/info/common-info.html?noticeId=2873089&amp;epz=true&amp;style44=false" TargetMode="External"/><Relationship Id="rId16" Type="http://schemas.openxmlformats.org/officeDocument/2006/relationships/hyperlink" Target="https://invest.gosuslugi.ru/epgu-forum/" TargetMode="External"/><Relationship Id="rId1" Type="http://schemas.openxmlformats.org/officeDocument/2006/relationships/hyperlink" Target="http://zakupki.gov.ru/223/purchase/public/purchase/info/common-info.html?noticeId=2872984&amp;epz=true&amp;style44=false" TargetMode="External"/><Relationship Id="rId6" Type="http://schemas.openxmlformats.org/officeDocument/2006/relationships/hyperlink" Target="http://zakupki.gov.ru/223/purchase/public/purchase/info/common-info.html?noticeId=2374035&amp;epz=true&amp;style44=false" TargetMode="External"/><Relationship Id="rId11" Type="http://schemas.openxmlformats.org/officeDocument/2006/relationships/hyperlink" Target="http://zakupki.gov.ru/223/purchase/public/purchase/info/common-info.html?noticeId=2206959&amp;epz=true&amp;style44=false" TargetMode="External"/><Relationship Id="rId5" Type="http://schemas.openxmlformats.org/officeDocument/2006/relationships/hyperlink" Target="http://zakupki.gov.ru/223/purchase/public/purchase/info/common-info.html?noticeId=2367237&amp;epz=true&amp;style44=false" TargetMode="External"/><Relationship Id="rId15" Type="http://schemas.openxmlformats.org/officeDocument/2006/relationships/hyperlink" Target="https://invest.gosuslugi.ru/epgu-forum/" TargetMode="External"/><Relationship Id="rId10" Type="http://schemas.openxmlformats.org/officeDocument/2006/relationships/hyperlink" Target="http://zakupki.gov.ru/223/purchase/public/purchase/info/common-info.html?noticeId=223896&amp;epz=true&amp;style44=false" TargetMode="External"/><Relationship Id="rId4" Type="http://schemas.openxmlformats.org/officeDocument/2006/relationships/hyperlink" Target="http://zakupki.gov.ru/223/purchase/public/purchase/info/common-info.html?noticeId=2619906&amp;epz=true&amp;style44=false" TargetMode="External"/><Relationship Id="rId9" Type="http://schemas.openxmlformats.org/officeDocument/2006/relationships/hyperlink" Target="http://zakupki.gov.ru/223/purchase/public/purchase/info/common-info.html?noticeId=1947647&amp;epz=true&amp;style44=false" TargetMode="External"/><Relationship Id="rId14" Type="http://schemas.openxmlformats.org/officeDocument/2006/relationships/hyperlink" Target="http://zakupki.gov.ru/223/purchase/public/purchase/info/common-info.html?noticeId=2206959&amp;epz=true&amp;style44=false" TargetMode="External"/></Relationships>
</file>

<file path=xl/worksheets/_rels/sheet2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571028@oaorsm.ru" TargetMode="External"/><Relationship Id="rId7" Type="http://schemas.openxmlformats.org/officeDocument/2006/relationships/drawing" Target="../drawings/drawing3.xml"/><Relationship Id="rId2" Type="http://schemas.openxmlformats.org/officeDocument/2006/relationships/hyperlink" Target="mailto:571028@oaorsm.ru" TargetMode="External"/><Relationship Id="rId1" Type="http://schemas.openxmlformats.org/officeDocument/2006/relationships/hyperlink" Target="mailto:571028@oaorsm.ru" TargetMode="External"/><Relationship Id="rId6" Type="http://schemas.openxmlformats.org/officeDocument/2006/relationships/printerSettings" Target="../printerSettings/printerSettings24.bin"/><Relationship Id="rId5" Type="http://schemas.openxmlformats.org/officeDocument/2006/relationships/hyperlink" Target="mailto:571028@oaorsm.ru" TargetMode="External"/><Relationship Id="rId4" Type="http://schemas.openxmlformats.org/officeDocument/2006/relationships/hyperlink" Target="mailto:571028@oaorsm.ru" TargetMode="External"/><Relationship Id="rId9" Type="http://schemas.openxmlformats.org/officeDocument/2006/relationships/comments" Target="../comments2.xm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rsmenergo.ru/potrebitelya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hyperlink" Target="http://www.rsmenergo.ru/raskrytie/ooo-rostselmashenergo"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1.bin"/><Relationship Id="rId4" Type="http://schemas.openxmlformats.org/officeDocument/2006/relationships/comments" Target="../comments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105"/>
  <sheetViews>
    <sheetView tabSelected="1" view="pageBreakPreview" zoomScale="55" zoomScaleNormal="60" zoomScaleSheetLayoutView="80" workbookViewId="0">
      <selection activeCell="H34" sqref="H34:H46"/>
    </sheetView>
  </sheetViews>
  <sheetFormatPr defaultRowHeight="15"/>
  <cols>
    <col min="1" max="1" width="7.5703125" style="1" customWidth="1"/>
    <col min="2" max="2" width="7.28515625" style="1" customWidth="1"/>
    <col min="3" max="3" width="34.28515625" style="1" customWidth="1"/>
    <col min="4" max="4" width="7.140625" style="1" customWidth="1"/>
    <col min="5" max="5" width="99.140625" style="1" customWidth="1"/>
    <col min="6" max="6" width="20.85546875" style="1" customWidth="1"/>
    <col min="7" max="7" width="75.28515625" style="2" customWidth="1"/>
    <col min="8" max="8" width="62.140625" style="1" customWidth="1"/>
    <col min="9" max="16384" width="9.140625" style="1"/>
  </cols>
  <sheetData>
    <row r="1" spans="1:8" ht="15.75" thickBot="1">
      <c r="G1" s="2" t="s">
        <v>4874</v>
      </c>
    </row>
    <row r="2" spans="1:8" ht="19.5" thickBot="1">
      <c r="A2" s="1512" t="s">
        <v>4875</v>
      </c>
      <c r="B2" s="1513"/>
      <c r="C2" s="1514" t="s">
        <v>4876</v>
      </c>
      <c r="D2" s="1514"/>
      <c r="E2" s="1514"/>
      <c r="F2" s="3" t="s">
        <v>4877</v>
      </c>
      <c r="G2" s="4" t="s">
        <v>4878</v>
      </c>
      <c r="H2" s="5" t="s">
        <v>4879</v>
      </c>
    </row>
    <row r="3" spans="1:8" ht="83.25" customHeight="1" thickBot="1">
      <c r="A3" s="1515">
        <v>11</v>
      </c>
      <c r="B3" s="6" t="s">
        <v>4880</v>
      </c>
      <c r="C3" s="1517" t="s">
        <v>4881</v>
      </c>
      <c r="D3" s="1517"/>
      <c r="E3" s="1517"/>
      <c r="F3" s="7" t="s">
        <v>4882</v>
      </c>
      <c r="G3" s="7" t="s">
        <v>4883</v>
      </c>
      <c r="H3" s="8" t="s">
        <v>4884</v>
      </c>
    </row>
    <row r="4" spans="1:8" ht="128.25" customHeight="1" thickBot="1">
      <c r="A4" s="1515"/>
      <c r="B4" s="9" t="s">
        <v>4885</v>
      </c>
      <c r="C4" s="1518" t="s">
        <v>4886</v>
      </c>
      <c r="D4" s="1519"/>
      <c r="E4" s="1520"/>
      <c r="F4" s="10"/>
      <c r="G4" s="10" t="s">
        <v>4887</v>
      </c>
      <c r="H4" s="8" t="s">
        <v>4884</v>
      </c>
    </row>
    <row r="5" spans="1:8" ht="156" customHeight="1" thickBot="1">
      <c r="A5" s="1515"/>
      <c r="B5" s="9" t="s">
        <v>4888</v>
      </c>
      <c r="C5" s="1518" t="s">
        <v>4889</v>
      </c>
      <c r="D5" s="1519"/>
      <c r="E5" s="1520"/>
      <c r="F5" s="10"/>
      <c r="G5" s="10" t="s">
        <v>4890</v>
      </c>
      <c r="H5" s="11" t="s">
        <v>4891</v>
      </c>
    </row>
    <row r="6" spans="1:8" ht="46.5" customHeight="1">
      <c r="A6" s="1515"/>
      <c r="B6" s="1489" t="s">
        <v>4892</v>
      </c>
      <c r="C6" s="1499" t="s">
        <v>4893</v>
      </c>
      <c r="D6" s="1499"/>
      <c r="E6" s="1499"/>
      <c r="F6" s="12"/>
      <c r="G6" s="13"/>
      <c r="H6" s="14"/>
    </row>
    <row r="7" spans="1:8" ht="76.5" customHeight="1">
      <c r="A7" s="1515"/>
      <c r="B7" s="1490"/>
      <c r="C7" s="1522" t="s">
        <v>4894</v>
      </c>
      <c r="D7" s="15">
        <v>1</v>
      </c>
      <c r="E7" s="15" t="s">
        <v>4895</v>
      </c>
      <c r="F7" s="16" t="s">
        <v>4882</v>
      </c>
      <c r="G7" s="1527" t="s">
        <v>4896</v>
      </c>
      <c r="H7" s="17" t="s">
        <v>4897</v>
      </c>
    </row>
    <row r="8" spans="1:8" ht="47.25">
      <c r="A8" s="1515"/>
      <c r="B8" s="1490"/>
      <c r="C8" s="1524"/>
      <c r="D8" s="15">
        <v>2</v>
      </c>
      <c r="E8" s="18" t="s">
        <v>4898</v>
      </c>
      <c r="F8" s="16" t="s">
        <v>4882</v>
      </c>
      <c r="G8" s="1528"/>
      <c r="H8" s="17" t="s">
        <v>4899</v>
      </c>
    </row>
    <row r="9" spans="1:8" ht="47.25" customHeight="1">
      <c r="A9" s="1515"/>
      <c r="B9" s="1490"/>
      <c r="C9" s="1524"/>
      <c r="D9" s="1522">
        <v>3</v>
      </c>
      <c r="E9" s="1522" t="s">
        <v>4900</v>
      </c>
      <c r="F9" s="1531" t="s">
        <v>4882</v>
      </c>
      <c r="G9" s="1528"/>
      <c r="H9" s="19" t="s">
        <v>4901</v>
      </c>
    </row>
    <row r="10" spans="1:8" ht="18.75">
      <c r="A10" s="1515"/>
      <c r="B10" s="1490"/>
      <c r="C10" s="1524"/>
      <c r="D10" s="1523"/>
      <c r="E10" s="1523"/>
      <c r="F10" s="1532"/>
      <c r="G10" s="1528"/>
      <c r="H10" s="17" t="s">
        <v>4897</v>
      </c>
    </row>
    <row r="11" spans="1:8" ht="46.5" customHeight="1">
      <c r="A11" s="1515"/>
      <c r="B11" s="1490"/>
      <c r="C11" s="1524" t="s">
        <v>4902</v>
      </c>
      <c r="D11" s="15">
        <v>4</v>
      </c>
      <c r="E11" s="15" t="s">
        <v>4903</v>
      </c>
      <c r="F11" s="16" t="s">
        <v>4882</v>
      </c>
      <c r="G11" s="1528"/>
      <c r="H11" s="17" t="s">
        <v>4904</v>
      </c>
    </row>
    <row r="12" spans="1:8" ht="36.75" customHeight="1">
      <c r="A12" s="1515"/>
      <c r="B12" s="1490"/>
      <c r="C12" s="1524"/>
      <c r="D12" s="15">
        <v>5</v>
      </c>
      <c r="E12" s="15" t="s">
        <v>4905</v>
      </c>
      <c r="F12" s="16" t="s">
        <v>4882</v>
      </c>
      <c r="G12" s="1528"/>
      <c r="H12" s="17" t="s">
        <v>4906</v>
      </c>
    </row>
    <row r="13" spans="1:8" ht="36.75" customHeight="1">
      <c r="A13" s="1515"/>
      <c r="B13" s="1490"/>
      <c r="C13" s="1524"/>
      <c r="D13" s="15">
        <v>6</v>
      </c>
      <c r="E13" s="15" t="s">
        <v>4907</v>
      </c>
      <c r="F13" s="16" t="s">
        <v>4908</v>
      </c>
      <c r="G13" s="1528"/>
      <c r="H13" s="17" t="s">
        <v>4909</v>
      </c>
    </row>
    <row r="14" spans="1:8" ht="51.75" customHeight="1">
      <c r="A14" s="1515"/>
      <c r="B14" s="1490"/>
      <c r="C14" s="1524"/>
      <c r="D14" s="15">
        <v>7</v>
      </c>
      <c r="E14" s="15" t="s">
        <v>4910</v>
      </c>
      <c r="F14" s="16" t="s">
        <v>4882</v>
      </c>
      <c r="G14" s="1528"/>
      <c r="H14" s="20" t="s">
        <v>4911</v>
      </c>
    </row>
    <row r="15" spans="1:8" ht="60" customHeight="1">
      <c r="A15" s="1515"/>
      <c r="B15" s="1490"/>
      <c r="C15" s="1524"/>
      <c r="D15" s="15">
        <v>8</v>
      </c>
      <c r="E15" s="15" t="s">
        <v>4912</v>
      </c>
      <c r="F15" s="16" t="s">
        <v>4882</v>
      </c>
      <c r="G15" s="1528"/>
      <c r="H15" s="21" t="s">
        <v>4913</v>
      </c>
    </row>
    <row r="16" spans="1:8" ht="62.25" customHeight="1">
      <c r="A16" s="1515"/>
      <c r="B16" s="1490"/>
      <c r="C16" s="1523"/>
      <c r="D16" s="15">
        <v>9</v>
      </c>
      <c r="E16" s="15" t="s">
        <v>4914</v>
      </c>
      <c r="F16" s="16" t="s">
        <v>4908</v>
      </c>
      <c r="G16" s="1528"/>
      <c r="H16" s="17" t="s">
        <v>4915</v>
      </c>
    </row>
    <row r="17" spans="1:8" ht="103.5" customHeight="1">
      <c r="A17" s="1515"/>
      <c r="B17" s="1490"/>
      <c r="C17" s="1524" t="s">
        <v>4916</v>
      </c>
      <c r="D17" s="15">
        <v>10</v>
      </c>
      <c r="E17" s="15" t="s">
        <v>4917</v>
      </c>
      <c r="F17" s="16" t="s">
        <v>4908</v>
      </c>
      <c r="G17" s="1528"/>
      <c r="H17" s="17" t="s">
        <v>4918</v>
      </c>
    </row>
    <row r="18" spans="1:8" ht="44.25" customHeight="1">
      <c r="A18" s="1515"/>
      <c r="B18" s="1490"/>
      <c r="C18" s="1524"/>
      <c r="D18" s="15">
        <v>11</v>
      </c>
      <c r="E18" s="15" t="s">
        <v>4919</v>
      </c>
      <c r="F18" s="16" t="s">
        <v>4908</v>
      </c>
      <c r="G18" s="1527" t="s">
        <v>4920</v>
      </c>
      <c r="H18" s="17" t="s">
        <v>4918</v>
      </c>
    </row>
    <row r="19" spans="1:8" ht="51.75" customHeight="1">
      <c r="A19" s="1515"/>
      <c r="B19" s="1490"/>
      <c r="C19" s="1524"/>
      <c r="D19" s="15">
        <v>12</v>
      </c>
      <c r="E19" s="15" t="s">
        <v>4921</v>
      </c>
      <c r="F19" s="16" t="s">
        <v>4908</v>
      </c>
      <c r="G19" s="1528"/>
      <c r="H19" s="17" t="s">
        <v>4922</v>
      </c>
    </row>
    <row r="20" spans="1:8" ht="72.75" customHeight="1">
      <c r="A20" s="1515"/>
      <c r="B20" s="1491"/>
      <c r="C20" s="1524"/>
      <c r="D20" s="22">
        <v>13</v>
      </c>
      <c r="E20" s="22" t="s">
        <v>4923</v>
      </c>
      <c r="F20" s="16" t="s">
        <v>4908</v>
      </c>
      <c r="G20" s="23" t="s">
        <v>4920</v>
      </c>
      <c r="H20" s="24" t="s">
        <v>4924</v>
      </c>
    </row>
    <row r="21" spans="1:8" ht="75.75" customHeight="1" thickBot="1">
      <c r="A21" s="1515"/>
      <c r="B21" s="1492"/>
      <c r="C21" s="1525"/>
      <c r="D21" s="25">
        <v>14</v>
      </c>
      <c r="E21" s="25" t="s">
        <v>4925</v>
      </c>
      <c r="F21" s="26" t="s">
        <v>4908</v>
      </c>
      <c r="G21" s="27" t="s">
        <v>4926</v>
      </c>
      <c r="H21" s="28" t="s">
        <v>4927</v>
      </c>
    </row>
    <row r="22" spans="1:8" ht="83.25" customHeight="1">
      <c r="A22" s="1515"/>
      <c r="B22" s="1493" t="s">
        <v>4928</v>
      </c>
      <c r="C22" s="1533" t="s">
        <v>4929</v>
      </c>
      <c r="D22" s="1533"/>
      <c r="E22" s="1533"/>
      <c r="F22" s="29"/>
      <c r="G22" s="30"/>
      <c r="H22" s="14"/>
    </row>
    <row r="23" spans="1:8" ht="36" customHeight="1">
      <c r="A23" s="1515"/>
      <c r="B23" s="1490"/>
      <c r="C23" s="31"/>
      <c r="D23" s="15">
        <v>1</v>
      </c>
      <c r="E23" s="15" t="s">
        <v>4930</v>
      </c>
      <c r="F23" s="16" t="s">
        <v>4908</v>
      </c>
      <c r="G23" s="1535" t="s">
        <v>4931</v>
      </c>
      <c r="H23" s="17" t="s">
        <v>4932</v>
      </c>
    </row>
    <row r="24" spans="1:8" ht="58.5" customHeight="1">
      <c r="A24" s="1515"/>
      <c r="B24" s="1490"/>
      <c r="C24" s="31"/>
      <c r="D24" s="15">
        <v>2</v>
      </c>
      <c r="E24" s="15" t="s">
        <v>4933</v>
      </c>
      <c r="F24" s="16" t="s">
        <v>4882</v>
      </c>
      <c r="G24" s="1535"/>
      <c r="H24" s="17" t="s">
        <v>4934</v>
      </c>
    </row>
    <row r="25" spans="1:8" ht="21.75" customHeight="1">
      <c r="A25" s="1515"/>
      <c r="B25" s="1490"/>
      <c r="C25" s="31"/>
      <c r="D25" s="15">
        <v>3</v>
      </c>
      <c r="E25" s="15" t="s">
        <v>4935</v>
      </c>
      <c r="F25" s="16" t="s">
        <v>4908</v>
      </c>
      <c r="G25" s="1535"/>
      <c r="H25" s="17" t="s">
        <v>4936</v>
      </c>
    </row>
    <row r="26" spans="1:8" ht="23.25" customHeight="1" thickBot="1">
      <c r="A26" s="1515"/>
      <c r="B26" s="1492"/>
      <c r="C26" s="32"/>
      <c r="D26" s="25">
        <v>4</v>
      </c>
      <c r="E26" s="25" t="s">
        <v>4937</v>
      </c>
      <c r="F26" s="26" t="s">
        <v>4908</v>
      </c>
      <c r="G26" s="1530"/>
      <c r="H26" s="28" t="s">
        <v>4938</v>
      </c>
    </row>
    <row r="27" spans="1:8" ht="77.25" customHeight="1" thickBot="1">
      <c r="A27" s="1515"/>
      <c r="B27" s="33" t="s">
        <v>4939</v>
      </c>
      <c r="C27" s="1500" t="s">
        <v>4940</v>
      </c>
      <c r="D27" s="1501"/>
      <c r="E27" s="1502"/>
      <c r="F27" s="34"/>
      <c r="G27" s="7" t="s">
        <v>4920</v>
      </c>
      <c r="H27" s="35" t="s">
        <v>4941</v>
      </c>
    </row>
    <row r="28" spans="1:8" ht="70.5" customHeight="1" thickBot="1">
      <c r="A28" s="1515"/>
      <c r="B28" s="36" t="s">
        <v>4942</v>
      </c>
      <c r="C28" s="1536" t="s">
        <v>4943</v>
      </c>
      <c r="D28" s="1536"/>
      <c r="E28" s="1536"/>
      <c r="F28" s="37" t="s">
        <v>4908</v>
      </c>
      <c r="G28" s="38" t="s">
        <v>4944</v>
      </c>
      <c r="H28" s="39" t="s">
        <v>4945</v>
      </c>
    </row>
    <row r="29" spans="1:8" ht="154.5" customHeight="1" thickBot="1">
      <c r="A29" s="1515"/>
      <c r="B29" s="6" t="s">
        <v>4946</v>
      </c>
      <c r="C29" s="1521" t="s">
        <v>4947</v>
      </c>
      <c r="D29" s="1521"/>
      <c r="E29" s="1521"/>
      <c r="F29" s="34" t="s">
        <v>4882</v>
      </c>
      <c r="G29" s="7" t="s">
        <v>4948</v>
      </c>
      <c r="H29" s="40" t="s">
        <v>5041</v>
      </c>
    </row>
    <row r="30" spans="1:8" ht="72" customHeight="1" thickBot="1">
      <c r="A30" s="1515"/>
      <c r="B30" s="6" t="s">
        <v>4949</v>
      </c>
      <c r="C30" s="1521" t="s">
        <v>4950</v>
      </c>
      <c r="D30" s="1521"/>
      <c r="E30" s="1521"/>
      <c r="F30" s="34" t="s">
        <v>4908</v>
      </c>
      <c r="G30" s="7" t="s">
        <v>4951</v>
      </c>
      <c r="H30" s="35" t="s">
        <v>4952</v>
      </c>
    </row>
    <row r="31" spans="1:8" ht="144.75" customHeight="1" thickBot="1">
      <c r="A31" s="1515"/>
      <c r="B31" s="9" t="s">
        <v>4953</v>
      </c>
      <c r="C31" s="1534" t="s">
        <v>4954</v>
      </c>
      <c r="D31" s="1501"/>
      <c r="E31" s="1502"/>
      <c r="F31" s="41"/>
      <c r="G31" s="1529" t="s">
        <v>4955</v>
      </c>
      <c r="H31" s="1449" t="s">
        <v>5044</v>
      </c>
    </row>
    <row r="32" spans="1:8" ht="116.25" customHeight="1" thickBot="1">
      <c r="A32" s="1515"/>
      <c r="B32" s="42" t="s">
        <v>4956</v>
      </c>
      <c r="C32" s="1534" t="s">
        <v>4957</v>
      </c>
      <c r="D32" s="1501"/>
      <c r="E32" s="1502"/>
      <c r="F32" s="43"/>
      <c r="G32" s="1530"/>
      <c r="H32" s="78" t="s">
        <v>4952</v>
      </c>
    </row>
    <row r="33" spans="1:8" ht="32.25" customHeight="1">
      <c r="A33" s="1515"/>
      <c r="B33" s="44" t="s">
        <v>4958</v>
      </c>
      <c r="C33" s="1508" t="s">
        <v>4959</v>
      </c>
      <c r="D33" s="1508"/>
      <c r="E33" s="1508"/>
      <c r="F33" s="12"/>
      <c r="G33" s="45"/>
      <c r="H33" s="14"/>
    </row>
    <row r="34" spans="1:8" ht="223.5" customHeight="1">
      <c r="A34" s="1515"/>
      <c r="B34" s="46"/>
      <c r="C34" s="1494" t="s">
        <v>4873</v>
      </c>
      <c r="D34" s="1495"/>
      <c r="E34" s="1496"/>
      <c r="F34" s="1531" t="s">
        <v>3697</v>
      </c>
      <c r="G34" s="1527" t="s">
        <v>3698</v>
      </c>
      <c r="H34" s="1540" t="s">
        <v>3699</v>
      </c>
    </row>
    <row r="35" spans="1:8" ht="96" customHeight="1">
      <c r="A35" s="1515"/>
      <c r="B35" s="46"/>
      <c r="C35" s="1494" t="s">
        <v>342</v>
      </c>
      <c r="D35" s="1497"/>
      <c r="E35" s="1498"/>
      <c r="F35" s="1544"/>
      <c r="G35" s="1528"/>
      <c r="H35" s="1541"/>
    </row>
    <row r="36" spans="1:8" ht="97.5" customHeight="1">
      <c r="A36" s="1515"/>
      <c r="B36" s="46"/>
      <c r="C36" s="1494" t="s">
        <v>343</v>
      </c>
      <c r="D36" s="1497"/>
      <c r="E36" s="1498"/>
      <c r="F36" s="1544"/>
      <c r="G36" s="1528"/>
      <c r="H36" s="1541"/>
    </row>
    <row r="37" spans="1:8" ht="90.75" customHeight="1">
      <c r="A37" s="1515"/>
      <c r="B37" s="46"/>
      <c r="C37" s="1494" t="s">
        <v>344</v>
      </c>
      <c r="D37" s="1497"/>
      <c r="E37" s="1498"/>
      <c r="F37" s="1544"/>
      <c r="G37" s="1528"/>
      <c r="H37" s="1541"/>
    </row>
    <row r="38" spans="1:8" ht="71.25" customHeight="1">
      <c r="A38" s="1515"/>
      <c r="B38" s="46"/>
      <c r="C38" s="1494" t="s">
        <v>1492</v>
      </c>
      <c r="D38" s="1497"/>
      <c r="E38" s="1498"/>
      <c r="F38" s="1544"/>
      <c r="G38" s="1528"/>
      <c r="H38" s="1541"/>
    </row>
    <row r="39" spans="1:8" ht="81" customHeight="1">
      <c r="A39" s="1515"/>
      <c r="B39" s="46"/>
      <c r="C39" s="1494" t="s">
        <v>1493</v>
      </c>
      <c r="D39" s="1497"/>
      <c r="E39" s="1498"/>
      <c r="F39" s="1544"/>
      <c r="G39" s="1528"/>
      <c r="H39" s="1541"/>
    </row>
    <row r="40" spans="1:8" ht="96.75" customHeight="1">
      <c r="A40" s="1515"/>
      <c r="B40" s="46"/>
      <c r="C40" s="1494" t="s">
        <v>1997</v>
      </c>
      <c r="D40" s="1497"/>
      <c r="E40" s="1498"/>
      <c r="F40" s="1544"/>
      <c r="G40" s="1528"/>
      <c r="H40" s="1541"/>
    </row>
    <row r="41" spans="1:8" ht="55.5" customHeight="1">
      <c r="A41" s="1515"/>
      <c r="B41" s="46"/>
      <c r="C41" s="1494" t="s">
        <v>1998</v>
      </c>
      <c r="D41" s="1497"/>
      <c r="E41" s="1498"/>
      <c r="F41" s="1544"/>
      <c r="G41" s="1528"/>
      <c r="H41" s="1541"/>
    </row>
    <row r="42" spans="1:8" ht="40.5" customHeight="1">
      <c r="A42" s="1515"/>
      <c r="B42" s="46"/>
      <c r="C42" s="1494" t="s">
        <v>1999</v>
      </c>
      <c r="D42" s="1497"/>
      <c r="E42" s="1498"/>
      <c r="F42" s="1544"/>
      <c r="G42" s="1528"/>
      <c r="H42" s="1541"/>
    </row>
    <row r="43" spans="1:8" ht="72.75" customHeight="1">
      <c r="A43" s="1515"/>
      <c r="B43" s="46"/>
      <c r="C43" s="1494" t="s">
        <v>2000</v>
      </c>
      <c r="D43" s="1497"/>
      <c r="E43" s="1498"/>
      <c r="F43" s="1544"/>
      <c r="G43" s="1528"/>
      <c r="H43" s="1541"/>
    </row>
    <row r="44" spans="1:8" ht="125.25" customHeight="1">
      <c r="A44" s="1515"/>
      <c r="B44" s="46"/>
      <c r="C44" s="1494" t="s">
        <v>2001</v>
      </c>
      <c r="D44" s="1497"/>
      <c r="E44" s="1498"/>
      <c r="F44" s="1544"/>
      <c r="G44" s="1528"/>
      <c r="H44" s="1541"/>
    </row>
    <row r="45" spans="1:8" ht="111" customHeight="1">
      <c r="A45" s="1515"/>
      <c r="B45" s="46"/>
      <c r="C45" s="1494" t="s">
        <v>4669</v>
      </c>
      <c r="D45" s="1497"/>
      <c r="E45" s="1498"/>
      <c r="F45" s="1544"/>
      <c r="G45" s="1528"/>
      <c r="H45" s="1541"/>
    </row>
    <row r="46" spans="1:8" ht="115.5" customHeight="1" thickBot="1">
      <c r="A46" s="1515"/>
      <c r="B46" s="47"/>
      <c r="C46" s="1509" t="s">
        <v>4670</v>
      </c>
      <c r="D46" s="1510"/>
      <c r="E46" s="1511"/>
      <c r="F46" s="1545"/>
      <c r="G46" s="1543"/>
      <c r="H46" s="1542"/>
    </row>
    <row r="47" spans="1:8" ht="36" customHeight="1" thickBot="1">
      <c r="A47" s="1515"/>
      <c r="B47" s="47" t="s">
        <v>4671</v>
      </c>
      <c r="C47" s="1546" t="s">
        <v>4672</v>
      </c>
      <c r="D47" s="1547"/>
      <c r="E47" s="1548"/>
      <c r="F47" s="48"/>
      <c r="G47" s="1528" t="s">
        <v>4673</v>
      </c>
      <c r="H47" s="1541" t="s">
        <v>4674</v>
      </c>
    </row>
    <row r="48" spans="1:8" ht="80.25" customHeight="1">
      <c r="A48" s="1515"/>
      <c r="B48" s="46"/>
      <c r="C48" s="1505" t="s">
        <v>4675</v>
      </c>
      <c r="D48" s="1506"/>
      <c r="E48" s="1507"/>
      <c r="F48" s="1544" t="s">
        <v>3697</v>
      </c>
      <c r="G48" s="1528"/>
      <c r="H48" s="1541"/>
    </row>
    <row r="49" spans="1:8" ht="56.25" customHeight="1">
      <c r="A49" s="1515"/>
      <c r="B49" s="46"/>
      <c r="C49" s="1505" t="s">
        <v>4676</v>
      </c>
      <c r="D49" s="1506"/>
      <c r="E49" s="1507"/>
      <c r="F49" s="1544"/>
      <c r="G49" s="1528"/>
      <c r="H49" s="1541"/>
    </row>
    <row r="50" spans="1:8" ht="55.5" customHeight="1">
      <c r="A50" s="1515"/>
      <c r="B50" s="46"/>
      <c r="C50" s="1505" t="s">
        <v>4677</v>
      </c>
      <c r="D50" s="1506"/>
      <c r="E50" s="1507"/>
      <c r="F50" s="1544"/>
      <c r="G50" s="1528"/>
      <c r="H50" s="1541"/>
    </row>
    <row r="51" spans="1:8" ht="69" customHeight="1">
      <c r="A51" s="1515"/>
      <c r="B51" s="46"/>
      <c r="C51" s="1505" t="s">
        <v>1855</v>
      </c>
      <c r="D51" s="1506"/>
      <c r="E51" s="1507"/>
      <c r="F51" s="1544"/>
      <c r="G51" s="1528"/>
      <c r="H51" s="1541"/>
    </row>
    <row r="52" spans="1:8" ht="53.25" customHeight="1">
      <c r="A52" s="1515"/>
      <c r="B52" s="46"/>
      <c r="C52" s="1505" t="s">
        <v>1856</v>
      </c>
      <c r="D52" s="1506"/>
      <c r="E52" s="1507"/>
      <c r="F52" s="1544"/>
      <c r="G52" s="1528"/>
      <c r="H52" s="1541"/>
    </row>
    <row r="53" spans="1:8" ht="58.5" customHeight="1">
      <c r="A53" s="1515"/>
      <c r="B53" s="46"/>
      <c r="C53" s="1505" t="s">
        <v>1857</v>
      </c>
      <c r="D53" s="1506"/>
      <c r="E53" s="1507"/>
      <c r="F53" s="1544"/>
      <c r="G53" s="1528"/>
      <c r="H53" s="1541"/>
    </row>
    <row r="54" spans="1:8" ht="31.5" customHeight="1">
      <c r="A54" s="1515"/>
      <c r="B54" s="46"/>
      <c r="C54" s="1505" t="s">
        <v>1858</v>
      </c>
      <c r="D54" s="1506"/>
      <c r="E54" s="1507"/>
      <c r="F54" s="1544"/>
      <c r="G54" s="1528"/>
      <c r="H54" s="1541"/>
    </row>
    <row r="55" spans="1:8" ht="54" customHeight="1">
      <c r="A55" s="1515"/>
      <c r="B55" s="46"/>
      <c r="C55" s="1505" t="s">
        <v>1859</v>
      </c>
      <c r="D55" s="1506"/>
      <c r="E55" s="1507"/>
      <c r="F55" s="1544"/>
      <c r="G55" s="1528"/>
      <c r="H55" s="1541"/>
    </row>
    <row r="56" spans="1:8" ht="82.5" customHeight="1" thickBot="1">
      <c r="A56" s="1515"/>
      <c r="B56" s="46"/>
      <c r="C56" s="1505" t="s">
        <v>1860</v>
      </c>
      <c r="D56" s="1506"/>
      <c r="E56" s="1507"/>
      <c r="F56" s="1544"/>
      <c r="G56" s="1528"/>
      <c r="H56" s="1553"/>
    </row>
    <row r="57" spans="1:8" ht="34.5" customHeight="1" thickBot="1">
      <c r="A57" s="1515"/>
      <c r="B57" s="1503" t="s">
        <v>1861</v>
      </c>
      <c r="C57" s="1537" t="s">
        <v>1862</v>
      </c>
      <c r="D57" s="1538"/>
      <c r="E57" s="1539"/>
      <c r="F57" s="12"/>
      <c r="G57" s="45"/>
      <c r="H57" s="14"/>
    </row>
    <row r="58" spans="1:8" ht="126" customHeight="1">
      <c r="A58" s="1515"/>
      <c r="B58" s="1504"/>
      <c r="C58" s="49"/>
      <c r="D58" s="50">
        <v>1</v>
      </c>
      <c r="E58" s="15" t="s">
        <v>1863</v>
      </c>
      <c r="F58" s="1531" t="s">
        <v>1864</v>
      </c>
      <c r="G58" s="51" t="s">
        <v>4883</v>
      </c>
      <c r="H58" s="1448" t="s">
        <v>5043</v>
      </c>
    </row>
    <row r="59" spans="1:8" ht="122.25" customHeight="1" thickBot="1">
      <c r="A59" s="1515"/>
      <c r="B59" s="1504"/>
      <c r="C59" s="52"/>
      <c r="D59" s="53">
        <v>2</v>
      </c>
      <c r="E59" s="22" t="s">
        <v>1865</v>
      </c>
      <c r="F59" s="1544"/>
      <c r="G59" s="54" t="s">
        <v>4182</v>
      </c>
      <c r="H59" s="1447" t="s">
        <v>4183</v>
      </c>
    </row>
    <row r="60" spans="1:8" ht="102.75" customHeight="1" thickBot="1">
      <c r="A60" s="1515"/>
      <c r="B60" s="33" t="s">
        <v>4184</v>
      </c>
      <c r="C60" s="1534" t="s">
        <v>4185</v>
      </c>
      <c r="D60" s="1501"/>
      <c r="E60" s="1502"/>
      <c r="F60" s="34" t="s">
        <v>3697</v>
      </c>
      <c r="G60" s="7" t="s">
        <v>2248</v>
      </c>
      <c r="H60" s="35" t="s">
        <v>2249</v>
      </c>
    </row>
    <row r="61" spans="1:8" ht="49.5" customHeight="1">
      <c r="A61" s="1515"/>
      <c r="B61" s="1559" t="s">
        <v>2250</v>
      </c>
      <c r="C61" s="1526" t="s">
        <v>2251</v>
      </c>
      <c r="D61" s="55">
        <v>1</v>
      </c>
      <c r="E61" s="55" t="s">
        <v>2252</v>
      </c>
      <c r="F61" s="48" t="s">
        <v>4908</v>
      </c>
      <c r="G61" s="1552" t="s">
        <v>2253</v>
      </c>
      <c r="H61" s="1549" t="s">
        <v>2254</v>
      </c>
    </row>
    <row r="62" spans="1:8" ht="24" customHeight="1">
      <c r="A62" s="1515"/>
      <c r="B62" s="1560"/>
      <c r="C62" s="1524"/>
      <c r="D62" s="31">
        <v>2</v>
      </c>
      <c r="E62" s="31" t="s">
        <v>2255</v>
      </c>
      <c r="F62" s="16" t="s">
        <v>4908</v>
      </c>
      <c r="G62" s="1528"/>
      <c r="H62" s="1550"/>
    </row>
    <row r="63" spans="1:8" ht="91.5" customHeight="1" thickBot="1">
      <c r="A63" s="1516"/>
      <c r="B63" s="1561"/>
      <c r="C63" s="1525"/>
      <c r="D63" s="56">
        <v>3</v>
      </c>
      <c r="E63" s="32" t="s">
        <v>2256</v>
      </c>
      <c r="F63" s="26" t="s">
        <v>4908</v>
      </c>
      <c r="G63" s="1543"/>
      <c r="H63" s="1551"/>
    </row>
    <row r="64" spans="1:8" ht="63.75" customHeight="1" thickBot="1">
      <c r="A64" s="57"/>
      <c r="B64" s="33" t="s">
        <v>2257</v>
      </c>
      <c r="C64" s="1534" t="s">
        <v>2258</v>
      </c>
      <c r="D64" s="1501"/>
      <c r="E64" s="1502"/>
      <c r="F64" s="34"/>
      <c r="G64" s="7" t="s">
        <v>2259</v>
      </c>
      <c r="H64" s="58" t="s">
        <v>2260</v>
      </c>
    </row>
    <row r="65" spans="1:12" ht="91.5" customHeight="1" thickBot="1">
      <c r="A65" s="57"/>
      <c r="B65" s="59" t="s">
        <v>2261</v>
      </c>
      <c r="C65" s="1556" t="s">
        <v>2262</v>
      </c>
      <c r="D65" s="1557"/>
      <c r="E65" s="1558"/>
      <c r="F65" s="37"/>
      <c r="G65" s="38" t="s">
        <v>2263</v>
      </c>
      <c r="H65" s="20" t="s">
        <v>2264</v>
      </c>
    </row>
    <row r="66" spans="1:12" ht="111.75" customHeight="1">
      <c r="A66" s="1554">
        <v>9</v>
      </c>
      <c r="B66" s="60" t="s">
        <v>4880</v>
      </c>
      <c r="C66" s="61" t="s">
        <v>2514</v>
      </c>
      <c r="D66" s="62">
        <v>1</v>
      </c>
      <c r="E66" s="63"/>
      <c r="F66" s="64" t="s">
        <v>2515</v>
      </c>
      <c r="G66" s="65" t="s">
        <v>2516</v>
      </c>
      <c r="H66" s="66" t="s">
        <v>2517</v>
      </c>
      <c r="L66" s="67"/>
    </row>
    <row r="67" spans="1:12" ht="109.5" customHeight="1">
      <c r="A67" s="1515"/>
      <c r="B67" s="68" t="s">
        <v>4892</v>
      </c>
      <c r="C67" s="31" t="s">
        <v>2518</v>
      </c>
      <c r="D67" s="53">
        <v>2</v>
      </c>
      <c r="E67" s="69"/>
      <c r="F67" s="70" t="s">
        <v>2519</v>
      </c>
      <c r="G67" s="38" t="s">
        <v>2520</v>
      </c>
      <c r="H67" s="17" t="s">
        <v>2521</v>
      </c>
    </row>
    <row r="68" spans="1:12" ht="109.5" customHeight="1">
      <c r="A68" s="1515"/>
      <c r="B68" s="1490" t="s">
        <v>4928</v>
      </c>
      <c r="C68" s="1555" t="s">
        <v>716</v>
      </c>
      <c r="D68" s="50">
        <v>3</v>
      </c>
      <c r="E68" s="15" t="s">
        <v>717</v>
      </c>
      <c r="F68" s="70" t="s">
        <v>2515</v>
      </c>
      <c r="G68" s="51" t="s">
        <v>2520</v>
      </c>
      <c r="H68" s="71" t="s">
        <v>718</v>
      </c>
    </row>
    <row r="69" spans="1:12" ht="109.5" customHeight="1">
      <c r="A69" s="1515"/>
      <c r="B69" s="1490"/>
      <c r="C69" s="1555"/>
      <c r="D69" s="50">
        <v>4</v>
      </c>
      <c r="E69" s="15" t="s">
        <v>719</v>
      </c>
      <c r="F69" s="72" t="s">
        <v>2515</v>
      </c>
      <c r="G69" s="51" t="s">
        <v>2520</v>
      </c>
      <c r="H69" s="17" t="s">
        <v>720</v>
      </c>
    </row>
    <row r="70" spans="1:12" ht="252.75" thickBot="1">
      <c r="A70" s="1515"/>
      <c r="B70" s="73" t="s">
        <v>4942</v>
      </c>
      <c r="C70" s="74" t="s">
        <v>721</v>
      </c>
      <c r="D70" s="75">
        <v>5</v>
      </c>
      <c r="E70" s="76"/>
      <c r="F70" s="70" t="s">
        <v>2519</v>
      </c>
      <c r="G70" s="77" t="s">
        <v>722</v>
      </c>
      <c r="H70" s="78" t="s">
        <v>723</v>
      </c>
    </row>
    <row r="105" spans="7:7">
      <c r="G105" s="2">
        <f>54+38+20</f>
        <v>112</v>
      </c>
    </row>
  </sheetData>
  <sheetProtection formatCells="0" formatColumns="0" formatRows="0" insertColumns="0" insertRows="0" insertHyperlinks="0" deleteColumns="0" deleteRows="0" sort="0" autoFilter="0" pivotTables="0"/>
  <mergeCells count="69">
    <mergeCell ref="A66:A70"/>
    <mergeCell ref="B68:B69"/>
    <mergeCell ref="C68:C69"/>
    <mergeCell ref="C65:E65"/>
    <mergeCell ref="B61:B63"/>
    <mergeCell ref="C64:E64"/>
    <mergeCell ref="C57:E57"/>
    <mergeCell ref="H34:H46"/>
    <mergeCell ref="C43:E43"/>
    <mergeCell ref="C42:E42"/>
    <mergeCell ref="C48:E48"/>
    <mergeCell ref="G34:G46"/>
    <mergeCell ref="F34:F46"/>
    <mergeCell ref="C47:E47"/>
    <mergeCell ref="H61:H63"/>
    <mergeCell ref="G61:G63"/>
    <mergeCell ref="H47:H56"/>
    <mergeCell ref="F58:F59"/>
    <mergeCell ref="G47:G56"/>
    <mergeCell ref="F48:F56"/>
    <mergeCell ref="C61:C63"/>
    <mergeCell ref="G7:G17"/>
    <mergeCell ref="G31:G32"/>
    <mergeCell ref="C7:C10"/>
    <mergeCell ref="F9:F10"/>
    <mergeCell ref="C22:E22"/>
    <mergeCell ref="C31:E31"/>
    <mergeCell ref="G18:G19"/>
    <mergeCell ref="C56:E56"/>
    <mergeCell ref="C49:E49"/>
    <mergeCell ref="G23:G26"/>
    <mergeCell ref="C32:E32"/>
    <mergeCell ref="C28:E28"/>
    <mergeCell ref="C60:E60"/>
    <mergeCell ref="A2:B2"/>
    <mergeCell ref="C2:E2"/>
    <mergeCell ref="A3:A63"/>
    <mergeCell ref="C3:E3"/>
    <mergeCell ref="C4:E4"/>
    <mergeCell ref="C29:E29"/>
    <mergeCell ref="C38:E38"/>
    <mergeCell ref="C5:E5"/>
    <mergeCell ref="C30:E30"/>
    <mergeCell ref="D9:D10"/>
    <mergeCell ref="E9:E10"/>
    <mergeCell ref="C11:C16"/>
    <mergeCell ref="C44:E44"/>
    <mergeCell ref="C17:C21"/>
    <mergeCell ref="C37:E37"/>
    <mergeCell ref="C55:E55"/>
    <mergeCell ref="B57:B59"/>
    <mergeCell ref="C53:E53"/>
    <mergeCell ref="C33:E33"/>
    <mergeCell ref="C45:E45"/>
    <mergeCell ref="C41:E41"/>
    <mergeCell ref="C46:E46"/>
    <mergeCell ref="C54:E54"/>
    <mergeCell ref="C50:E50"/>
    <mergeCell ref="C52:E52"/>
    <mergeCell ref="C51:E51"/>
    <mergeCell ref="B6:B21"/>
    <mergeCell ref="B22:B26"/>
    <mergeCell ref="C34:E34"/>
    <mergeCell ref="C40:E40"/>
    <mergeCell ref="C39:E39"/>
    <mergeCell ref="C6:E6"/>
    <mergeCell ref="C27:E27"/>
    <mergeCell ref="C35:E35"/>
    <mergeCell ref="C36:E36"/>
  </mergeCells>
  <phoneticPr fontId="0" type="noConversion"/>
  <hyperlinks>
    <hyperlink ref="H3" location="'п.п. 11 а'!A1" display="вкладка п.п. 11а"/>
    <hyperlink ref="H7" location="'п.п. 11 Б-1'!A1" display="вкладка п.п. 11 Б-1"/>
    <hyperlink ref="H8" location="'п.п. 11 Б-2'!A1" display="вкладка п.п. 11 Б-2"/>
    <hyperlink ref="H9" location="'п.п. 11 Б-3'!A1" display="вкладка п.п. 11 Б-3"/>
    <hyperlink ref="H11" location="'п.п. 11 Б-4'!A1" display="вкладка п.п. 11 Б-4"/>
    <hyperlink ref="H12" location="'п.п. 11 Б-5'!A1" display="вкладка п.п. 11 Б-5"/>
    <hyperlink ref="H13" location="'п.п. 11 Б-6'!A1" display="вкладка п.п. 11 Б-6"/>
    <hyperlink ref="H16" location="'п.п.11 Б-9'!A1" display="вкладка п.п. 11 Б-9"/>
    <hyperlink ref="H67" location="'п.п. 9 Б-1'!A1" display="вкладка п.п. 9 Б-1"/>
    <hyperlink ref="H34" r:id="rId1" location="'п.п. 11 Ж-1'!A1" display="вкладка п.п. 11 Ж-1"/>
    <hyperlink ref="H30" location="'п.п. 11 Е'!A1" display="вкладка п.п.11 Е"/>
    <hyperlink ref="H26" location="'п.п. 11 В-4'!A1" display="вкладка п.п.11 в-4"/>
    <hyperlink ref="H28" location="'п.п. 11 Г'!A1" display="вкладка п.п.11 Г"/>
    <hyperlink ref="H25" location="'п.п. 11 В-3'!A1" display="вкладка п.п.11 в-3"/>
    <hyperlink ref="H24" location="'п.п. 11 В-2 '!A1" display="вкладка п.п.11 в-2"/>
    <hyperlink ref="H23" location="'п.п. 11 В-1'!A1" display="вкладка п.п.11 в-1"/>
    <hyperlink ref="H19" location="'п.п. 11 Б-12'!A1" display="вкладка п.п. 11 Б-12"/>
    <hyperlink ref="H17" location="'п.п. 11 Б 10-11'!A1" display="вкладка п.п. 11 Б-10-11"/>
    <hyperlink ref="H14" location="'п.п. 11 Б-7'!A1" display="вкладка п.п. 11 Б-7"/>
    <hyperlink ref="H18" location="'п.п. 11 Б 10-11'!A1" display="вкладка п.п. 11 Б-10-11"/>
    <hyperlink ref="H70" location="'п. 9 Г (1,2)'!A1" display="вкладка п. 9 Г"/>
    <hyperlink ref="H60" location="'п.п. 11 и'!A1" display="вкладка п.п. 11 и"/>
    <hyperlink ref="H61:H63" location="'п.п. 11 к'!A1" display="вкладка п.п. 11 к"/>
    <hyperlink ref="H68" location="'п. 9 В'!A1" display="вкладка 9 В"/>
    <hyperlink ref="H69" location="'п. 9 В-1'!A1" display="вкладка 9 В-1"/>
    <hyperlink ref="H47" location="'п.п. 11 Ж-2'!A1" display="вкладка п.п. 11 Ж-2"/>
    <hyperlink ref="H66" r:id="rId2"/>
    <hyperlink ref="H4" location="'п.п. 11 а'!A1" display="вкладка п.п. 11а"/>
    <hyperlink ref="H5" location="'п.п. 11 а (2)'!A1" display="'п.п. 11 а (2)"/>
    <hyperlink ref="H20" location="'п.п. 11 Б-13'!A1" display="вкладка п.п. 11 Б-13"/>
    <hyperlink ref="H21" location="'п.п. 11 Б-14'!A1" display="'п.п. 11 Б-14'!A1"/>
    <hyperlink ref="H58" r:id="rId3"/>
    <hyperlink ref="H64" location="'п.п. 11 л 1'!Область_печати" display="вкладки п.п. 11 л 1- 5"/>
    <hyperlink ref="H65" location="'п.п. 11 м'!A1" display="вкладк п.п. 11 м"/>
    <hyperlink ref="H27" location="'п.п. 11 В (1)'!A1" display="вкладка п.п.11 в (1)"/>
    <hyperlink ref="H34:H46" location="'п.п. 11 Ж'!A1" display="вкладка п.п. 11 Ж-1"/>
    <hyperlink ref="H47:H56" location="'п.п. 11 Ж-1'!A1" display="вкладка п.п. 11 Ж-2"/>
    <hyperlink ref="H10" location="'п.п. 11 Б-1'!A1" display="вкладка п.п. 11 Б-1"/>
    <hyperlink ref="H59" location="'п.п. 11 З-2'!A1" display="'п.п. 11 З-2'!A1"/>
    <hyperlink ref="H31" r:id="rId4"/>
    <hyperlink ref="H32" location="'п.п. 11 Е'!A1" display="вкладка п.п.11 Е"/>
  </hyperlinks>
  <pageMargins left="0.19685039370078741" right="0.19685039370078741" top="0.19685039370078741" bottom="0.19685039370078741" header="0.31496062992125984" footer="0.31496062992125984"/>
  <pageSetup paperSize="9" scale="26" orientation="portrait" r:id="rId5"/>
  <rowBreaks count="1" manualBreakCount="1">
    <brk id="46" max="7" man="1"/>
  </rowBreaks>
</worksheet>
</file>

<file path=xl/worksheets/sheet10.xml><?xml version="1.0" encoding="utf-8"?>
<worksheet xmlns="http://schemas.openxmlformats.org/spreadsheetml/2006/main" xmlns:r="http://schemas.openxmlformats.org/officeDocument/2006/relationships">
  <sheetPr>
    <tabColor indexed="22"/>
    <pageSetUpPr fitToPage="1"/>
  </sheetPr>
  <dimension ref="B1:R70"/>
  <sheetViews>
    <sheetView showGridLines="0" view="pageBreakPreview" topLeftCell="A31" zoomScale="85" zoomScaleNormal="100" workbookViewId="0">
      <selection activeCell="H74" sqref="H74"/>
    </sheetView>
  </sheetViews>
  <sheetFormatPr defaultRowHeight="15"/>
  <cols>
    <col min="2" max="2" width="48.28515625" customWidth="1"/>
    <col min="3" max="3" width="10.140625" customWidth="1"/>
    <col min="4" max="4" width="11.7109375" customWidth="1"/>
    <col min="5" max="6" width="12" customWidth="1"/>
    <col min="7" max="7" width="12.28515625" customWidth="1"/>
    <col min="8" max="8" width="10" customWidth="1"/>
    <col min="9" max="9" width="12.42578125" customWidth="1"/>
    <col min="10" max="10" width="12.85546875" customWidth="1"/>
    <col min="11" max="11" width="11.85546875" bestFit="1" customWidth="1"/>
    <col min="12" max="12" width="11.85546875" customWidth="1"/>
    <col min="13" max="14" width="11.5703125" customWidth="1"/>
    <col min="15" max="15" width="12.5703125" customWidth="1"/>
    <col min="16" max="16" width="13.42578125" customWidth="1"/>
    <col min="17" max="17" width="12.85546875" bestFit="1" customWidth="1"/>
  </cols>
  <sheetData>
    <row r="1" spans="2:16" ht="15.75">
      <c r="B1" s="79" t="s">
        <v>724</v>
      </c>
      <c r="P1" t="s">
        <v>3555</v>
      </c>
    </row>
    <row r="2" spans="2:16" ht="21">
      <c r="B2" s="234"/>
    </row>
    <row r="3" spans="2:16" ht="21">
      <c r="B3" s="234"/>
    </row>
    <row r="4" spans="2:16">
      <c r="B4" s="1652" t="s">
        <v>3556</v>
      </c>
      <c r="C4" s="1653"/>
      <c r="D4" s="1653"/>
      <c r="E4" s="1653"/>
      <c r="F4" s="1653"/>
      <c r="G4" s="1653"/>
      <c r="H4" s="1653"/>
      <c r="I4" s="1653"/>
      <c r="J4" s="1653"/>
      <c r="K4" s="1653"/>
      <c r="L4" s="1653"/>
      <c r="M4" s="1653"/>
      <c r="N4" s="1653"/>
      <c r="O4" s="1653"/>
      <c r="P4" s="1654"/>
    </row>
    <row r="5" spans="2:16">
      <c r="B5" s="334"/>
      <c r="C5" s="335"/>
      <c r="D5" s="335" t="s">
        <v>1471</v>
      </c>
      <c r="E5" s="335" t="s">
        <v>1472</v>
      </c>
      <c r="F5" s="335" t="s">
        <v>1473</v>
      </c>
      <c r="G5" s="335" t="s">
        <v>1474</v>
      </c>
      <c r="H5" s="335" t="s">
        <v>1475</v>
      </c>
      <c r="I5" s="335" t="s">
        <v>1476</v>
      </c>
      <c r="J5" s="335" t="s">
        <v>1477</v>
      </c>
      <c r="K5" s="335" t="s">
        <v>1478</v>
      </c>
      <c r="L5" s="335" t="s">
        <v>1479</v>
      </c>
      <c r="M5" s="335" t="s">
        <v>1480</v>
      </c>
      <c r="N5" s="335" t="s">
        <v>1481</v>
      </c>
      <c r="O5" s="335" t="s">
        <v>4522</v>
      </c>
      <c r="P5" s="336"/>
    </row>
    <row r="6" spans="2:16" ht="28.5" customHeight="1">
      <c r="B6" s="337" t="s">
        <v>2911</v>
      </c>
      <c r="C6" s="251" t="s">
        <v>2898</v>
      </c>
      <c r="D6" s="251">
        <v>0.91644999999999999</v>
      </c>
      <c r="E6" s="251">
        <v>0.91644499999999995</v>
      </c>
      <c r="F6" s="251">
        <v>0.91644499999999995</v>
      </c>
      <c r="G6" s="251">
        <v>0.91644999999999999</v>
      </c>
      <c r="H6" s="251">
        <v>0.91644499999999995</v>
      </c>
      <c r="I6" s="251">
        <v>0.91644499999999995</v>
      </c>
      <c r="J6" s="251">
        <v>0.91644499999999995</v>
      </c>
      <c r="K6" s="251">
        <v>0.91644499999999995</v>
      </c>
      <c r="L6" s="251">
        <v>0.91644499999999995</v>
      </c>
      <c r="M6" s="251">
        <v>0.91644499999999995</v>
      </c>
      <c r="N6" s="251">
        <v>0.91644499999999995</v>
      </c>
      <c r="O6" s="251">
        <v>0.91644499999999995</v>
      </c>
      <c r="P6" s="251">
        <f>AVERAGE(D6:O6)</f>
        <v>0.91644583333333307</v>
      </c>
    </row>
    <row r="7" spans="2:16" ht="28.5" customHeight="1">
      <c r="B7" s="337" t="s">
        <v>2912</v>
      </c>
      <c r="C7" s="251" t="s">
        <v>2898</v>
      </c>
      <c r="D7" s="251">
        <v>1.34456</v>
      </c>
      <c r="E7" s="251">
        <v>1.3866896</v>
      </c>
      <c r="F7" s="251">
        <v>1.48942</v>
      </c>
      <c r="G7" s="251">
        <v>1.40937</v>
      </c>
      <c r="H7" s="251">
        <v>1.5551429999999999</v>
      </c>
      <c r="I7" s="251">
        <v>1.4614799999999999</v>
      </c>
      <c r="J7" s="251">
        <v>1.63127</v>
      </c>
      <c r="K7" s="251">
        <v>1.5974790000000001</v>
      </c>
      <c r="L7" s="251">
        <v>1.5674459999999999</v>
      </c>
      <c r="M7" s="251">
        <v>1.6653450000000001</v>
      </c>
      <c r="N7" s="251">
        <v>1.518543</v>
      </c>
      <c r="O7" s="251">
        <v>1.402031</v>
      </c>
      <c r="P7" s="251">
        <f>AVERAGE(D7:O7)</f>
        <v>1.50239805</v>
      </c>
    </row>
    <row r="8" spans="2:16" ht="28.5" customHeight="1">
      <c r="B8" s="337" t="s">
        <v>2913</v>
      </c>
      <c r="C8" s="251" t="s">
        <v>2893</v>
      </c>
      <c r="D8" s="251">
        <v>38334</v>
      </c>
      <c r="E8" s="251">
        <v>30823</v>
      </c>
      <c r="F8" s="251">
        <v>35230</v>
      </c>
      <c r="G8" s="251">
        <v>29159</v>
      </c>
      <c r="H8" s="251">
        <v>27337</v>
      </c>
      <c r="I8" s="251">
        <v>32055</v>
      </c>
      <c r="J8" s="251">
        <v>15973</v>
      </c>
      <c r="K8" s="251">
        <v>19602</v>
      </c>
      <c r="L8" s="251">
        <v>17116.439999999999</v>
      </c>
      <c r="M8" s="251">
        <v>20167</v>
      </c>
      <c r="N8" s="251">
        <v>21712</v>
      </c>
      <c r="O8" s="251">
        <v>22807</v>
      </c>
      <c r="P8" s="251">
        <f>SUM(D8:O8)</f>
        <v>310315.44</v>
      </c>
    </row>
    <row r="9" spans="2:16" ht="28.5" customHeight="1">
      <c r="B9" s="337" t="s">
        <v>2914</v>
      </c>
      <c r="C9" s="251" t="s">
        <v>2893</v>
      </c>
      <c r="D9" s="251">
        <v>16429</v>
      </c>
      <c r="E9" s="251">
        <v>13210</v>
      </c>
      <c r="F9" s="251">
        <v>15098</v>
      </c>
      <c r="G9" s="251">
        <v>12496</v>
      </c>
      <c r="H9" s="251">
        <v>11716</v>
      </c>
      <c r="I9" s="251">
        <v>13738</v>
      </c>
      <c r="J9" s="251">
        <v>15973</v>
      </c>
      <c r="K9" s="251">
        <v>19602</v>
      </c>
      <c r="L9" s="251">
        <v>29273.63</v>
      </c>
      <c r="M9" s="251">
        <v>20166</v>
      </c>
      <c r="N9" s="251">
        <v>21712</v>
      </c>
      <c r="O9" s="251">
        <v>22807</v>
      </c>
      <c r="P9" s="251">
        <f>SUM(D9:O9)</f>
        <v>212220.63</v>
      </c>
    </row>
    <row r="10" spans="2:16" ht="28.5" customHeight="1">
      <c r="B10" s="337" t="s">
        <v>3557</v>
      </c>
      <c r="C10" s="251" t="s">
        <v>2903</v>
      </c>
      <c r="D10" s="251">
        <f t="shared" ref="D10:K10" si="0">(D9*D7)+(D6*D8)</f>
        <v>57220.970540000002</v>
      </c>
      <c r="E10" s="251">
        <f t="shared" si="0"/>
        <v>46565.753851000001</v>
      </c>
      <c r="F10" s="251">
        <f t="shared" si="0"/>
        <v>54773.620509999993</v>
      </c>
      <c r="G10" s="251">
        <f t="shared" si="0"/>
        <v>44334.253069999999</v>
      </c>
      <c r="H10" s="251">
        <f t="shared" si="0"/>
        <v>43272.912353</v>
      </c>
      <c r="I10" s="251">
        <f t="shared" si="0"/>
        <v>49454.456714999993</v>
      </c>
      <c r="J10" s="251">
        <f t="shared" si="0"/>
        <v>40694.651695</v>
      </c>
      <c r="K10" s="251">
        <f t="shared" si="0"/>
        <v>49277.938247999999</v>
      </c>
      <c r="L10" s="251">
        <f>(L9*L7)+(L6*L8)</f>
        <v>61571.110104779997</v>
      </c>
      <c r="M10" s="251">
        <f>(M9*M7)+(M6*M8)</f>
        <v>52065.293584999992</v>
      </c>
      <c r="N10" s="251">
        <f>(N9*N7)+(N6*N8)</f>
        <v>52868.459455999997</v>
      </c>
      <c r="O10" s="251">
        <f>(O9*O7)+(O6*O8)</f>
        <v>52877.482132000005</v>
      </c>
      <c r="P10" s="251">
        <f>SUM(D10:O10)</f>
        <v>604976.90225977998</v>
      </c>
    </row>
    <row r="12" spans="2:16">
      <c r="B12" s="1652" t="s">
        <v>3558</v>
      </c>
      <c r="C12" s="1653"/>
      <c r="D12" s="1653"/>
      <c r="E12" s="1653"/>
      <c r="F12" s="1653"/>
      <c r="G12" s="1653"/>
      <c r="H12" s="1653"/>
      <c r="I12" s="1653"/>
      <c r="J12" s="1653"/>
      <c r="K12" s="1653"/>
      <c r="L12" s="1653"/>
      <c r="M12" s="1653"/>
      <c r="N12" s="1653"/>
      <c r="O12" s="1653"/>
      <c r="P12" s="1654"/>
    </row>
    <row r="13" spans="2:16">
      <c r="B13" s="334"/>
      <c r="C13" s="335"/>
      <c r="D13" s="335" t="s">
        <v>1471</v>
      </c>
      <c r="E13" s="335" t="s">
        <v>1472</v>
      </c>
      <c r="F13" s="335" t="s">
        <v>1473</v>
      </c>
      <c r="G13" s="335" t="s">
        <v>1474</v>
      </c>
      <c r="H13" s="335" t="s">
        <v>1475</v>
      </c>
      <c r="I13" s="335" t="s">
        <v>1476</v>
      </c>
      <c r="J13" s="335" t="s">
        <v>1477</v>
      </c>
      <c r="K13" s="335" t="s">
        <v>1478</v>
      </c>
      <c r="L13" s="335" t="s">
        <v>1479</v>
      </c>
      <c r="M13" s="335" t="s">
        <v>1480</v>
      </c>
      <c r="N13" s="335" t="s">
        <v>1481</v>
      </c>
      <c r="O13" s="335" t="s">
        <v>4522</v>
      </c>
      <c r="P13" s="336"/>
    </row>
    <row r="14" spans="2:16" ht="30.75" customHeight="1">
      <c r="B14" s="337" t="s">
        <v>2911</v>
      </c>
      <c r="C14" s="251" t="s">
        <v>2898</v>
      </c>
      <c r="D14" s="251">
        <v>0.97600100000000001</v>
      </c>
      <c r="E14" s="251">
        <v>0.97600100000000001</v>
      </c>
      <c r="F14" s="251">
        <v>0.97600100000000001</v>
      </c>
      <c r="G14" s="251">
        <v>0.97600100000000001</v>
      </c>
      <c r="H14" s="251">
        <v>0.97599999999999998</v>
      </c>
      <c r="I14" s="251">
        <v>0.97600100000000001</v>
      </c>
      <c r="J14" s="251">
        <v>0.97600100000000001</v>
      </c>
      <c r="K14" s="251">
        <v>0.97600100000000001</v>
      </c>
      <c r="L14" s="251">
        <v>0.97600100000000001</v>
      </c>
      <c r="M14" s="251">
        <v>0.97600100000000001</v>
      </c>
      <c r="N14" s="251">
        <v>0.97599999999999998</v>
      </c>
      <c r="O14" s="251">
        <v>0.97600100000000001</v>
      </c>
      <c r="P14" s="251">
        <f>AVERAGE(D14:O14)</f>
        <v>0.97600083333333332</v>
      </c>
    </row>
    <row r="15" spans="2:16" ht="30.75" customHeight="1">
      <c r="B15" s="337" t="s">
        <v>2912</v>
      </c>
      <c r="C15" s="251" t="s">
        <v>2898</v>
      </c>
      <c r="D15" s="251">
        <v>1.3280050000000001</v>
      </c>
      <c r="E15" s="251">
        <v>1.880925</v>
      </c>
      <c r="F15" s="251">
        <v>1.8710230000000001</v>
      </c>
      <c r="G15" s="251">
        <v>1.4176519999999999</v>
      </c>
      <c r="H15" s="251">
        <v>1.87466</v>
      </c>
      <c r="I15" s="251">
        <v>1.5277670000000001</v>
      </c>
      <c r="J15" s="251">
        <v>1.5174430000000001</v>
      </c>
      <c r="K15" s="251">
        <v>1.7856817</v>
      </c>
      <c r="L15" s="251">
        <v>2.0790649999999999</v>
      </c>
      <c r="M15" s="251">
        <v>1.4661999999999999</v>
      </c>
      <c r="N15" s="251">
        <v>1.63121</v>
      </c>
      <c r="O15" s="251">
        <v>1.5122469999999999</v>
      </c>
      <c r="P15" s="251">
        <f>AVERAGE(D15:O15)</f>
        <v>1.6576565583333334</v>
      </c>
    </row>
    <row r="16" spans="2:16" ht="30.75" customHeight="1">
      <c r="B16" s="337" t="s">
        <v>2913</v>
      </c>
      <c r="C16" s="251" t="s">
        <v>2893</v>
      </c>
      <c r="D16" s="251">
        <v>18388</v>
      </c>
      <c r="E16" s="251">
        <v>17123</v>
      </c>
      <c r="F16" s="251">
        <v>15528</v>
      </c>
      <c r="G16" s="251">
        <v>11802</v>
      </c>
      <c r="H16" s="251">
        <v>11773</v>
      </c>
      <c r="I16" s="251">
        <v>14983</v>
      </c>
      <c r="J16" s="251">
        <v>8237</v>
      </c>
      <c r="K16" s="251">
        <v>8225</v>
      </c>
      <c r="L16" s="251">
        <v>7261</v>
      </c>
      <c r="M16" s="251">
        <v>8096</v>
      </c>
      <c r="N16" s="251">
        <v>7324</v>
      </c>
      <c r="O16" s="251">
        <v>8216</v>
      </c>
      <c r="P16" s="251">
        <f>SUM(D16:O16)</f>
        <v>136956</v>
      </c>
    </row>
    <row r="17" spans="2:16" ht="30.75" customHeight="1">
      <c r="B17" s="337" t="s">
        <v>2914</v>
      </c>
      <c r="C17" s="251" t="s">
        <v>2893</v>
      </c>
      <c r="D17" s="251">
        <v>27583</v>
      </c>
      <c r="E17" s="251">
        <v>25684</v>
      </c>
      <c r="F17" s="251">
        <v>23291</v>
      </c>
      <c r="G17" s="251">
        <v>17703</v>
      </c>
      <c r="H17" s="251">
        <v>17659</v>
      </c>
      <c r="I17" s="251">
        <v>22475</v>
      </c>
      <c r="J17" s="251">
        <v>32949</v>
      </c>
      <c r="K17" s="251">
        <v>32900</v>
      </c>
      <c r="L17" s="251">
        <v>29045</v>
      </c>
      <c r="M17" s="251">
        <v>32382</v>
      </c>
      <c r="N17" s="251">
        <v>29294</v>
      </c>
      <c r="O17" s="251">
        <v>38735</v>
      </c>
      <c r="P17" s="251">
        <f>SUM(D17:O17)</f>
        <v>329700</v>
      </c>
    </row>
    <row r="18" spans="2:16" ht="30.75" customHeight="1">
      <c r="B18" s="337" t="s">
        <v>3557</v>
      </c>
      <c r="C18" s="251" t="s">
        <v>2903</v>
      </c>
      <c r="D18" s="251">
        <f t="shared" ref="D18:K18" si="1">(D17*D15)+(D14*D16)</f>
        <v>54577.068303</v>
      </c>
      <c r="E18" s="251">
        <f t="shared" si="1"/>
        <v>65021.742823</v>
      </c>
      <c r="F18" s="251">
        <f t="shared" si="1"/>
        <v>58733.340220999999</v>
      </c>
      <c r="G18" s="251">
        <f t="shared" si="1"/>
        <v>36615.457157999997</v>
      </c>
      <c r="H18" s="251">
        <f>(H17*H15)+(H14*H16)</f>
        <v>44595.068939999997</v>
      </c>
      <c r="I18" s="251">
        <f>(I17*I15)+(I14*I16)</f>
        <v>48959.986308000007</v>
      </c>
      <c r="J18" s="251">
        <f t="shared" si="1"/>
        <v>58037.549644000006</v>
      </c>
      <c r="K18" s="251">
        <f t="shared" si="1"/>
        <v>66776.536154999994</v>
      </c>
      <c r="L18" s="251">
        <f>(L17*L15)+(L14*L16)</f>
        <v>67473.186185999992</v>
      </c>
      <c r="M18" s="251">
        <f>(M17*M15)+(M14*M16)</f>
        <v>55380.192495999996</v>
      </c>
      <c r="N18" s="251">
        <f>(N17*N15)+(N14*N16)</f>
        <v>54932.889740000006</v>
      </c>
      <c r="O18" s="251">
        <f>(O17*O15)+(O14*O16)</f>
        <v>66595.711760999999</v>
      </c>
      <c r="P18" s="251">
        <f>SUM(D18:O18)</f>
        <v>677698.72973500006</v>
      </c>
    </row>
    <row r="20" spans="2:16">
      <c r="B20" s="1652" t="s">
        <v>3559</v>
      </c>
      <c r="C20" s="1653"/>
      <c r="D20" s="1653"/>
      <c r="E20" s="1653"/>
      <c r="F20" s="1653"/>
      <c r="G20" s="1653"/>
      <c r="H20" s="1653"/>
      <c r="I20" s="1653"/>
      <c r="J20" s="1653"/>
      <c r="K20" s="1653"/>
      <c r="L20" s="1653"/>
      <c r="M20" s="1653"/>
      <c r="N20" s="1653"/>
      <c r="O20" s="1653"/>
      <c r="P20" s="1654"/>
    </row>
    <row r="21" spans="2:16">
      <c r="B21" s="334"/>
      <c r="C21" s="335"/>
      <c r="D21" s="335" t="s">
        <v>1471</v>
      </c>
      <c r="E21" s="335" t="s">
        <v>1472</v>
      </c>
      <c r="F21" s="335" t="s">
        <v>1473</v>
      </c>
      <c r="G21" s="335" t="s">
        <v>1474</v>
      </c>
      <c r="H21" s="335" t="s">
        <v>1475</v>
      </c>
      <c r="I21" s="335" t="s">
        <v>1476</v>
      </c>
      <c r="J21" s="335" t="s">
        <v>1477</v>
      </c>
      <c r="K21" s="335" t="s">
        <v>1478</v>
      </c>
      <c r="L21" s="335" t="s">
        <v>1479</v>
      </c>
      <c r="M21" s="335" t="s">
        <v>1480</v>
      </c>
      <c r="N21" s="335" t="s">
        <v>1481</v>
      </c>
      <c r="O21" s="335" t="s">
        <v>4522</v>
      </c>
      <c r="P21" s="336"/>
    </row>
    <row r="22" spans="2:16" ht="17.25" customHeight="1">
      <c r="B22" s="337" t="s">
        <v>2912</v>
      </c>
      <c r="C22" s="251" t="s">
        <v>2898</v>
      </c>
      <c r="D22" s="251">
        <v>1.611863</v>
      </c>
      <c r="E22" s="251">
        <v>1.617934</v>
      </c>
      <c r="F22" s="251">
        <v>1.662253</v>
      </c>
      <c r="G22" s="251">
        <v>1.6146624114163675</v>
      </c>
      <c r="H22" s="251">
        <v>1.717808</v>
      </c>
      <c r="I22" s="251">
        <v>1.0636436307374937</v>
      </c>
      <c r="J22" s="251">
        <v>1.460078</v>
      </c>
      <c r="K22" s="251">
        <v>1.349628</v>
      </c>
      <c r="L22" s="251">
        <v>1.4472179999999999</v>
      </c>
      <c r="M22" s="251">
        <v>1.433694</v>
      </c>
      <c r="N22" s="251">
        <v>1.4344140000000001</v>
      </c>
      <c r="O22" s="251">
        <v>1.3693580000000001</v>
      </c>
      <c r="P22" s="251">
        <f>P24/P23</f>
        <v>1.493677707665491</v>
      </c>
    </row>
    <row r="23" spans="2:16" ht="17.25" customHeight="1">
      <c r="B23" s="337" t="s">
        <v>2914</v>
      </c>
      <c r="C23" s="251" t="s">
        <v>2893</v>
      </c>
      <c r="D23" s="251">
        <v>48359</v>
      </c>
      <c r="E23" s="251">
        <v>41401</v>
      </c>
      <c r="F23" s="251">
        <v>45101</v>
      </c>
      <c r="G23" s="251">
        <v>41204</v>
      </c>
      <c r="H23" s="251">
        <v>38894</v>
      </c>
      <c r="I23" s="251">
        <v>34902</v>
      </c>
      <c r="J23" s="251">
        <v>37250</v>
      </c>
      <c r="K23" s="251">
        <v>33091</v>
      </c>
      <c r="L23" s="251">
        <v>33774</v>
      </c>
      <c r="M23" s="251">
        <v>36379</v>
      </c>
      <c r="N23" s="251">
        <v>38392</v>
      </c>
      <c r="O23" s="251">
        <v>41112</v>
      </c>
      <c r="P23" s="251">
        <f>SUM(D23:O23)</f>
        <v>469859</v>
      </c>
    </row>
    <row r="24" spans="2:16" ht="17.25" customHeight="1">
      <c r="B24" s="337" t="s">
        <v>3557</v>
      </c>
      <c r="C24" s="251" t="s">
        <v>2903</v>
      </c>
      <c r="D24" s="251">
        <f>D22*D23</f>
        <v>77948.082817000002</v>
      </c>
      <c r="E24" s="251">
        <f>E22*E23</f>
        <v>66984.085533999998</v>
      </c>
      <c r="F24" s="251">
        <f>F22*F23</f>
        <v>74969.272553000003</v>
      </c>
      <c r="G24" s="251">
        <f>G22*G23</f>
        <v>66530.55</v>
      </c>
      <c r="H24" s="251">
        <f>H22*H23</f>
        <v>66812.424352000002</v>
      </c>
      <c r="I24" s="251">
        <f t="shared" ref="I24:O24" si="2">I22*I23</f>
        <v>37123.290000000008</v>
      </c>
      <c r="J24" s="251">
        <f t="shared" si="2"/>
        <v>54387.905500000001</v>
      </c>
      <c r="K24" s="251">
        <f t="shared" si="2"/>
        <v>44660.540148</v>
      </c>
      <c r="L24" s="251">
        <f t="shared" si="2"/>
        <v>48878.340731999997</v>
      </c>
      <c r="M24" s="251">
        <f t="shared" si="2"/>
        <v>52156.354026000001</v>
      </c>
      <c r="N24" s="251">
        <f t="shared" si="2"/>
        <v>55070.022288</v>
      </c>
      <c r="O24" s="251">
        <f t="shared" si="2"/>
        <v>56297.046096000005</v>
      </c>
      <c r="P24" s="251">
        <f>SUM(D24:O24)</f>
        <v>701817.91404599999</v>
      </c>
    </row>
    <row r="26" spans="2:16">
      <c r="B26" s="1652" t="s">
        <v>3560</v>
      </c>
      <c r="C26" s="1653"/>
      <c r="D26" s="1653"/>
      <c r="E26" s="1653"/>
      <c r="F26" s="1653"/>
      <c r="G26" s="1653"/>
      <c r="H26" s="1653"/>
      <c r="I26" s="1653"/>
      <c r="J26" s="1653"/>
      <c r="K26" s="1653"/>
      <c r="L26" s="1653"/>
      <c r="M26" s="1653"/>
      <c r="N26" s="1653"/>
      <c r="O26" s="1653"/>
      <c r="P26" s="1654"/>
    </row>
    <row r="27" spans="2:16">
      <c r="B27" s="334"/>
      <c r="C27" s="335"/>
      <c r="D27" s="335" t="s">
        <v>1471</v>
      </c>
      <c r="E27" s="335" t="s">
        <v>1472</v>
      </c>
      <c r="F27" s="335" t="s">
        <v>1473</v>
      </c>
      <c r="G27" s="335" t="s">
        <v>1474</v>
      </c>
      <c r="H27" s="335" t="s">
        <v>1475</v>
      </c>
      <c r="I27" s="335" t="s">
        <v>1476</v>
      </c>
      <c r="J27" s="335" t="s">
        <v>1477</v>
      </c>
      <c r="K27" s="335" t="s">
        <v>1478</v>
      </c>
      <c r="L27" s="335" t="s">
        <v>1479</v>
      </c>
      <c r="M27" s="335" t="s">
        <v>1480</v>
      </c>
      <c r="N27" s="335" t="s">
        <v>1481</v>
      </c>
      <c r="O27" s="335" t="s">
        <v>4522</v>
      </c>
      <c r="P27" s="336"/>
    </row>
    <row r="28" spans="2:16" ht="17.25" customHeight="1">
      <c r="B28" s="337" t="s">
        <v>2912</v>
      </c>
      <c r="C28" s="251" t="s">
        <v>2898</v>
      </c>
      <c r="D28" s="251">
        <v>1.5101199999999999</v>
      </c>
      <c r="E28" s="251">
        <v>1.4216599999999999</v>
      </c>
      <c r="F28" s="251">
        <v>1.4431799999999999</v>
      </c>
      <c r="G28" s="251">
        <v>1.3707499999999999</v>
      </c>
      <c r="H28" s="251">
        <v>1.3992</v>
      </c>
      <c r="I28" s="251">
        <v>1.4421600000000001</v>
      </c>
      <c r="J28" s="251">
        <v>2.0372699999999999</v>
      </c>
      <c r="K28" s="251">
        <v>2.11558</v>
      </c>
      <c r="L28" s="251">
        <v>2.0435400000000001</v>
      </c>
      <c r="M28" s="251">
        <v>2.04278</v>
      </c>
      <c r="N28" s="251">
        <v>1.9880100000000001</v>
      </c>
      <c r="O28" s="251">
        <v>2.0097100000000001</v>
      </c>
      <c r="P28" s="251">
        <f>P30/P29</f>
        <v>1.7291918690536763</v>
      </c>
    </row>
    <row r="29" spans="2:16" ht="17.25" customHeight="1">
      <c r="B29" s="337" t="s">
        <v>2914</v>
      </c>
      <c r="C29" s="251" t="s">
        <v>2893</v>
      </c>
      <c r="D29" s="251">
        <v>40426</v>
      </c>
      <c r="E29" s="251">
        <v>38427</v>
      </c>
      <c r="F29" s="251">
        <v>45243</v>
      </c>
      <c r="G29" s="251">
        <v>39997</v>
      </c>
      <c r="H29" s="251">
        <v>38502</v>
      </c>
      <c r="I29" s="251">
        <v>37877</v>
      </c>
      <c r="J29" s="251">
        <v>38397</v>
      </c>
      <c r="K29" s="251">
        <v>37730</v>
      </c>
      <c r="L29" s="251">
        <v>36577</v>
      </c>
      <c r="M29" s="251">
        <v>36433</v>
      </c>
      <c r="N29" s="251">
        <v>38552</v>
      </c>
      <c r="O29" s="251">
        <v>43559</v>
      </c>
      <c r="P29" s="251">
        <f>SUM(D29:O29)</f>
        <v>471720</v>
      </c>
    </row>
    <row r="30" spans="2:16" ht="17.25" customHeight="1">
      <c r="B30" s="337" t="s">
        <v>3557</v>
      </c>
      <c r="C30" s="251" t="s">
        <v>2903</v>
      </c>
      <c r="D30" s="251">
        <f t="shared" ref="D30:O30" si="3">D28*D29</f>
        <v>61048.111119999994</v>
      </c>
      <c r="E30" s="251">
        <f t="shared" si="3"/>
        <v>54630.128819999998</v>
      </c>
      <c r="F30" s="251">
        <f t="shared" si="3"/>
        <v>65293.792739999997</v>
      </c>
      <c r="G30" s="251">
        <f t="shared" si="3"/>
        <v>54825.887749999994</v>
      </c>
      <c r="H30" s="251">
        <f t="shared" si="3"/>
        <v>53871.998399999997</v>
      </c>
      <c r="I30" s="251">
        <f t="shared" si="3"/>
        <v>54624.694320000002</v>
      </c>
      <c r="J30" s="251">
        <f t="shared" si="3"/>
        <v>78225.056190000003</v>
      </c>
      <c r="K30" s="251">
        <f t="shared" si="3"/>
        <v>79820.833400000003</v>
      </c>
      <c r="L30" s="251">
        <f t="shared" si="3"/>
        <v>74746.562579999998</v>
      </c>
      <c r="M30" s="251">
        <f t="shared" si="3"/>
        <v>74424.603740000006</v>
      </c>
      <c r="N30" s="251">
        <f t="shared" si="3"/>
        <v>76641.76152</v>
      </c>
      <c r="O30" s="251">
        <f t="shared" si="3"/>
        <v>87540.957890000005</v>
      </c>
      <c r="P30" s="251">
        <f>SUM(D30:O30)</f>
        <v>815694.38847000012</v>
      </c>
    </row>
    <row r="32" spans="2:16">
      <c r="B32" s="1652" t="s">
        <v>3561</v>
      </c>
      <c r="C32" s="1653"/>
      <c r="D32" s="1653"/>
      <c r="E32" s="1653"/>
      <c r="F32" s="1653"/>
      <c r="G32" s="1653"/>
      <c r="H32" s="1653"/>
      <c r="I32" s="1653"/>
      <c r="J32" s="1653"/>
      <c r="K32" s="1653"/>
      <c r="L32" s="1653"/>
      <c r="M32" s="1653"/>
      <c r="N32" s="1653"/>
      <c r="O32" s="1653"/>
      <c r="P32" s="1654"/>
    </row>
    <row r="33" spans="2:16">
      <c r="B33" s="334"/>
      <c r="C33" s="335"/>
      <c r="D33" s="335" t="s">
        <v>1471</v>
      </c>
      <c r="E33" s="335" t="s">
        <v>1472</v>
      </c>
      <c r="F33" s="335" t="s">
        <v>1473</v>
      </c>
      <c r="G33" s="335" t="s">
        <v>1474</v>
      </c>
      <c r="H33" s="335" t="s">
        <v>1475</v>
      </c>
      <c r="I33" s="335" t="s">
        <v>1476</v>
      </c>
      <c r="J33" s="335" t="s">
        <v>1477</v>
      </c>
      <c r="K33" s="335" t="s">
        <v>1478</v>
      </c>
      <c r="L33" s="335" t="s">
        <v>1479</v>
      </c>
      <c r="M33" s="335" t="s">
        <v>1480</v>
      </c>
      <c r="N33" s="335" t="s">
        <v>1481</v>
      </c>
      <c r="O33" s="335" t="s">
        <v>4522</v>
      </c>
      <c r="P33" s="336"/>
    </row>
    <row r="34" spans="2:16" ht="17.25" customHeight="1">
      <c r="B34" s="337" t="s">
        <v>2912</v>
      </c>
      <c r="C34" s="251" t="s">
        <v>2898</v>
      </c>
      <c r="D34" s="251">
        <v>1.9275599999999999</v>
      </c>
      <c r="E34" s="251">
        <v>2.0840700000000001</v>
      </c>
      <c r="F34" s="251">
        <v>2.0970499999999999</v>
      </c>
      <c r="G34" s="251">
        <v>2.0316700000000001</v>
      </c>
      <c r="H34" s="251">
        <v>2.0912099999999998</v>
      </c>
      <c r="I34" s="251">
        <v>2.1264400000000001</v>
      </c>
      <c r="J34" s="251">
        <v>2.2066300000000001</v>
      </c>
      <c r="K34" s="251">
        <v>2.3881899999999998</v>
      </c>
      <c r="L34" s="251">
        <v>2.2905099999999998</v>
      </c>
      <c r="M34" s="251">
        <f>M36/M35</f>
        <v>2.2283345256192435</v>
      </c>
      <c r="N34" s="251">
        <f>N36/N35</f>
        <v>2.2512438233477456</v>
      </c>
      <c r="O34" s="251">
        <v>2.3320699999999999</v>
      </c>
      <c r="P34" s="251">
        <f>P36/P35</f>
        <v>2.1684936609097329</v>
      </c>
    </row>
    <row r="35" spans="2:16" ht="17.25" customHeight="1">
      <c r="B35" s="337" t="s">
        <v>2914</v>
      </c>
      <c r="C35" s="251" t="s">
        <v>2893</v>
      </c>
      <c r="D35" s="251">
        <v>43935</v>
      </c>
      <c r="E35" s="251">
        <v>39062</v>
      </c>
      <c r="F35" s="251">
        <v>44565</v>
      </c>
      <c r="G35" s="251">
        <v>36003</v>
      </c>
      <c r="H35" s="251">
        <v>33483</v>
      </c>
      <c r="I35" s="251">
        <v>32046</v>
      </c>
      <c r="J35" s="251">
        <v>37573</v>
      </c>
      <c r="K35" s="251">
        <v>34674</v>
      </c>
      <c r="L35" s="251">
        <v>31238</v>
      </c>
      <c r="M35" s="251">
        <v>44732</v>
      </c>
      <c r="N35" s="251">
        <v>38856</v>
      </c>
      <c r="O35" s="251">
        <v>43858</v>
      </c>
      <c r="P35" s="251">
        <f>SUM(D35:O35)</f>
        <v>460025</v>
      </c>
    </row>
    <row r="36" spans="2:16" ht="17.25" customHeight="1">
      <c r="B36" s="337" t="s">
        <v>3557</v>
      </c>
      <c r="C36" s="251" t="s">
        <v>2903</v>
      </c>
      <c r="D36" s="251">
        <f t="shared" ref="D36:O36" si="4">D34*D35</f>
        <v>84687.348599999998</v>
      </c>
      <c r="E36" s="251">
        <f t="shared" si="4"/>
        <v>81407.942340000009</v>
      </c>
      <c r="F36" s="251">
        <f t="shared" si="4"/>
        <v>93455.033249999993</v>
      </c>
      <c r="G36" s="251">
        <f t="shared" si="4"/>
        <v>73146.21501</v>
      </c>
      <c r="H36" s="251">
        <f t="shared" si="4"/>
        <v>70019.984429999997</v>
      </c>
      <c r="I36" s="251">
        <f t="shared" si="4"/>
        <v>68143.896240000002</v>
      </c>
      <c r="J36" s="251">
        <f t="shared" si="4"/>
        <v>82909.708989999999</v>
      </c>
      <c r="K36" s="251">
        <f t="shared" si="4"/>
        <v>82808.100059999997</v>
      </c>
      <c r="L36" s="251">
        <f>L34*L35</f>
        <v>71550.951379999999</v>
      </c>
      <c r="M36" s="251">
        <v>99677.86</v>
      </c>
      <c r="N36" s="251">
        <f>87474.33</f>
        <v>87474.33</v>
      </c>
      <c r="O36" s="251">
        <f t="shared" si="4"/>
        <v>102279.92606</v>
      </c>
      <c r="P36" s="251">
        <f>SUM(D36:O36)</f>
        <v>997561.2963599998</v>
      </c>
    </row>
    <row r="38" spans="2:16">
      <c r="B38" s="1652" t="s">
        <v>3562</v>
      </c>
      <c r="C38" s="1653"/>
      <c r="D38" s="1653"/>
      <c r="E38" s="1653"/>
      <c r="F38" s="1653"/>
      <c r="G38" s="1653"/>
      <c r="H38" s="1653"/>
      <c r="I38" s="1653"/>
      <c r="J38" s="1653"/>
      <c r="K38" s="1653"/>
      <c r="L38" s="1653"/>
      <c r="M38" s="1653"/>
      <c r="N38" s="1653"/>
      <c r="O38" s="1653"/>
      <c r="P38" s="1654"/>
    </row>
    <row r="39" spans="2:16">
      <c r="B39" s="334"/>
      <c r="C39" s="335"/>
      <c r="D39" s="335" t="s">
        <v>1471</v>
      </c>
      <c r="E39" s="335" t="s">
        <v>1472</v>
      </c>
      <c r="F39" s="335" t="s">
        <v>1473</v>
      </c>
      <c r="G39" s="335" t="s">
        <v>1474</v>
      </c>
      <c r="H39" s="335" t="s">
        <v>1475</v>
      </c>
      <c r="I39" s="335" t="s">
        <v>1476</v>
      </c>
      <c r="J39" s="335" t="s">
        <v>1477</v>
      </c>
      <c r="K39" s="335" t="s">
        <v>1478</v>
      </c>
      <c r="L39" s="335" t="s">
        <v>1479</v>
      </c>
      <c r="M39" s="335" t="s">
        <v>1480</v>
      </c>
      <c r="N39" s="335" t="s">
        <v>1481</v>
      </c>
      <c r="O39" s="335" t="s">
        <v>4522</v>
      </c>
      <c r="P39" s="336"/>
    </row>
    <row r="40" spans="2:16">
      <c r="B40" s="337" t="s">
        <v>2912</v>
      </c>
      <c r="C40" s="251" t="s">
        <v>2898</v>
      </c>
      <c r="D40" s="251">
        <v>2.2616800000000001</v>
      </c>
      <c r="E40" s="251">
        <v>2.0474600000000001</v>
      </c>
      <c r="F40" s="251">
        <v>2.3054600000000001</v>
      </c>
      <c r="G40" s="251">
        <v>2.2321599999999999</v>
      </c>
      <c r="H40" s="251">
        <v>2.14629</v>
      </c>
      <c r="I40" s="251">
        <f>I42/I41</f>
        <v>2.2403973441480094</v>
      </c>
      <c r="J40" s="251">
        <v>2.28302</v>
      </c>
      <c r="K40" s="251">
        <v>2.3301799999999999</v>
      </c>
      <c r="L40" s="251">
        <v>2.3496899999999998</v>
      </c>
      <c r="M40" s="251">
        <v>2.4004300000000001</v>
      </c>
      <c r="N40" s="251">
        <v>2.3875999999999999</v>
      </c>
      <c r="O40" s="251">
        <v>2.3634300000000001</v>
      </c>
      <c r="P40" s="251">
        <f>P42/P41</f>
        <v>2.2790459980415219</v>
      </c>
    </row>
    <row r="41" spans="2:16">
      <c r="B41" s="337" t="s">
        <v>2914</v>
      </c>
      <c r="C41" s="251" t="s">
        <v>2893</v>
      </c>
      <c r="D41" s="338">
        <v>44711</v>
      </c>
      <c r="E41" s="338">
        <v>38819</v>
      </c>
      <c r="F41" s="338">
        <v>40488</v>
      </c>
      <c r="G41" s="338">
        <v>33827</v>
      </c>
      <c r="H41" s="338">
        <v>34298</v>
      </c>
      <c r="I41" s="338">
        <v>37295</v>
      </c>
      <c r="J41" s="338">
        <v>35968</v>
      </c>
      <c r="K41" s="338">
        <v>31034</v>
      </c>
      <c r="L41" s="338">
        <v>32074</v>
      </c>
      <c r="M41" s="338">
        <v>36919</v>
      </c>
      <c r="N41" s="338">
        <v>36967</v>
      </c>
      <c r="O41" s="338">
        <v>44886</v>
      </c>
      <c r="P41" s="251">
        <f>SUM(D41:O41)</f>
        <v>447286</v>
      </c>
    </row>
    <row r="42" spans="2:16">
      <c r="B42" s="337" t="s">
        <v>3557</v>
      </c>
      <c r="C42" s="251" t="s">
        <v>2903</v>
      </c>
      <c r="D42" s="251">
        <f t="shared" ref="D42:L42" si="5">D40*D41</f>
        <v>101121.97448</v>
      </c>
      <c r="E42" s="251">
        <f t="shared" si="5"/>
        <v>79480.349740000005</v>
      </c>
      <c r="F42" s="251">
        <f t="shared" si="5"/>
        <v>93343.46448000001</v>
      </c>
      <c r="G42" s="251">
        <f t="shared" si="5"/>
        <v>75507.276320000004</v>
      </c>
      <c r="H42" s="251">
        <f t="shared" si="5"/>
        <v>73613.454419999995</v>
      </c>
      <c r="I42" s="251">
        <f>(37000*2.24277)+(295*1.94281)</f>
        <v>83555.618950000004</v>
      </c>
      <c r="J42" s="251">
        <f t="shared" si="5"/>
        <v>82115.663360000006</v>
      </c>
      <c r="K42" s="251">
        <f t="shared" si="5"/>
        <v>72314.806119999994</v>
      </c>
      <c r="L42" s="251">
        <f t="shared" si="5"/>
        <v>75363.957060000001</v>
      </c>
      <c r="M42" s="251">
        <f>M40*M41</f>
        <v>88621.475170000005</v>
      </c>
      <c r="N42" s="251">
        <f>N40*N41</f>
        <v>88262.409199999995</v>
      </c>
      <c r="O42" s="251">
        <f>O40*O41</f>
        <v>106084.91898</v>
      </c>
      <c r="P42" s="251">
        <f>SUM(D42:O42)</f>
        <v>1019385.3682800001</v>
      </c>
    </row>
    <row r="44" spans="2:16">
      <c r="B44" s="1652" t="s">
        <v>3563</v>
      </c>
      <c r="C44" s="1653"/>
      <c r="D44" s="1653"/>
      <c r="E44" s="1653"/>
      <c r="F44" s="1653"/>
      <c r="G44" s="1653"/>
      <c r="H44" s="1653"/>
      <c r="I44" s="1653"/>
      <c r="J44" s="1653"/>
      <c r="K44" s="1653"/>
      <c r="L44" s="1653"/>
      <c r="M44" s="1653"/>
      <c r="N44" s="1653"/>
      <c r="O44" s="1653"/>
      <c r="P44" s="1654"/>
    </row>
    <row r="45" spans="2:16">
      <c r="B45" s="334"/>
      <c r="C45" s="335"/>
      <c r="D45" s="335" t="s">
        <v>1471</v>
      </c>
      <c r="E45" s="335" t="s">
        <v>1472</v>
      </c>
      <c r="F45" s="335" t="s">
        <v>1473</v>
      </c>
      <c r="G45" s="335" t="s">
        <v>1474</v>
      </c>
      <c r="H45" s="335" t="s">
        <v>1475</v>
      </c>
      <c r="I45" s="335" t="s">
        <v>1476</v>
      </c>
      <c r="J45" s="335" t="s">
        <v>1477</v>
      </c>
      <c r="K45" s="335" t="s">
        <v>1478</v>
      </c>
      <c r="L45" s="335" t="s">
        <v>1479</v>
      </c>
      <c r="M45" s="335" t="s">
        <v>1480</v>
      </c>
      <c r="N45" s="335" t="s">
        <v>1481</v>
      </c>
      <c r="O45" s="335" t="s">
        <v>4522</v>
      </c>
      <c r="P45" s="336"/>
    </row>
    <row r="46" spans="2:16">
      <c r="B46" s="337" t="s">
        <v>2912</v>
      </c>
      <c r="C46" s="251" t="s">
        <v>2898</v>
      </c>
      <c r="D46" s="251">
        <f>D48/D47</f>
        <v>2.3986908398543751</v>
      </c>
      <c r="E46" s="251">
        <f>(38819*2.47379+2123*2.20682)/(38819+2123)</f>
        <v>2.4599465797958087</v>
      </c>
      <c r="F46" s="251">
        <f>F48/F47</f>
        <v>2.5251408928052679</v>
      </c>
      <c r="G46" s="251">
        <f>(33827*2.47559+3197*2.20885)/37024</f>
        <v>2.4525571623811584</v>
      </c>
      <c r="H46" s="251">
        <f>(34298*2.35395+1615*2.07202)/35913</f>
        <v>2.3412716676412444</v>
      </c>
      <c r="I46" s="251">
        <v>2.40699</v>
      </c>
      <c r="J46" s="251">
        <f>(35968*2.614+4179*2.42761)/40147</f>
        <v>2.5945982063416939</v>
      </c>
      <c r="K46" s="251">
        <f>(31034*2.44488+2636*2.23071)/33670</f>
        <v>2.4281127852687852</v>
      </c>
      <c r="L46" s="251">
        <v>2.6785899999999998</v>
      </c>
      <c r="M46" s="251">
        <v>2.7698200000000002</v>
      </c>
      <c r="N46" s="251">
        <f>(36967*2.61953+2335*2.43404)/39302</f>
        <v>2.608509717317185</v>
      </c>
      <c r="O46" s="251">
        <v>2.5293999999999999</v>
      </c>
      <c r="P46" s="251">
        <f>P48/P47</f>
        <v>2.5087917771095736</v>
      </c>
    </row>
    <row r="47" spans="2:16">
      <c r="B47" s="337" t="s">
        <v>2914</v>
      </c>
      <c r="C47" s="251" t="s">
        <v>2893</v>
      </c>
      <c r="D47" s="338">
        <v>47794</v>
      </c>
      <c r="E47" s="338">
        <v>40942</v>
      </c>
      <c r="F47" s="338">
        <v>41308</v>
      </c>
      <c r="G47" s="338">
        <v>37024</v>
      </c>
      <c r="H47" s="338">
        <v>35913</v>
      </c>
      <c r="I47" s="338">
        <v>34163</v>
      </c>
      <c r="J47" s="338">
        <v>40147</v>
      </c>
      <c r="K47" s="338">
        <v>33670</v>
      </c>
      <c r="L47" s="338">
        <v>28006</v>
      </c>
      <c r="M47" s="338">
        <v>30347</v>
      </c>
      <c r="N47" s="338">
        <v>39302</v>
      </c>
      <c r="O47" s="338">
        <v>40681</v>
      </c>
      <c r="P47" s="251">
        <f>SUM(D47:O47)</f>
        <v>449297</v>
      </c>
    </row>
    <row r="48" spans="2:16">
      <c r="B48" s="337" t="s">
        <v>3557</v>
      </c>
      <c r="C48" s="251" t="s">
        <v>2903</v>
      </c>
      <c r="D48" s="251">
        <f>114643.03</f>
        <v>114643.03</v>
      </c>
      <c r="E48" s="251">
        <f>(38819*2.47379+2123*2.20682)</f>
        <v>100715.13287</v>
      </c>
      <c r="F48" s="251">
        <v>104308.52</v>
      </c>
      <c r="G48" s="251">
        <f>G46*G47-0.01</f>
        <v>90803.466380000013</v>
      </c>
      <c r="H48" s="251">
        <f>H46*H47</f>
        <v>84082.089400000012</v>
      </c>
      <c r="I48" s="251">
        <f t="shared" ref="I48:O48" si="6">I46*I47</f>
        <v>82229.999370000005</v>
      </c>
      <c r="J48" s="251">
        <f t="shared" si="6"/>
        <v>104165.33418999998</v>
      </c>
      <c r="K48" s="251">
        <f t="shared" si="6"/>
        <v>81754.557480000003</v>
      </c>
      <c r="L48" s="251">
        <f t="shared" si="6"/>
        <v>75016.591539999994</v>
      </c>
      <c r="M48" s="251">
        <f t="shared" si="6"/>
        <v>84055.727540000007</v>
      </c>
      <c r="N48" s="251">
        <f t="shared" si="6"/>
        <v>102519.64891</v>
      </c>
      <c r="O48" s="251">
        <f t="shared" si="6"/>
        <v>102898.5214</v>
      </c>
      <c r="P48" s="251">
        <f>SUM(D48:O48)</f>
        <v>1127192.6190800001</v>
      </c>
    </row>
    <row r="49" spans="2:18" ht="25.5">
      <c r="B49" s="337" t="s">
        <v>2925</v>
      </c>
      <c r="C49" s="251" t="s">
        <v>2903</v>
      </c>
      <c r="D49" s="1655">
        <v>21127.73</v>
      </c>
      <c r="E49" s="1656"/>
      <c r="F49" s="1656"/>
      <c r="G49" s="1656"/>
      <c r="H49" s="1656"/>
      <c r="I49" s="1656"/>
      <c r="J49" s="1656"/>
      <c r="K49" s="1656"/>
      <c r="L49" s="1656"/>
      <c r="M49" s="1656"/>
      <c r="N49" s="1656"/>
      <c r="O49" s="1656"/>
      <c r="P49" s="1657"/>
    </row>
    <row r="51" spans="2:18">
      <c r="B51" s="1652" t="s">
        <v>3564</v>
      </c>
      <c r="C51" s="1653"/>
      <c r="D51" s="1653"/>
      <c r="E51" s="1653"/>
      <c r="F51" s="1653"/>
      <c r="G51" s="1653"/>
      <c r="H51" s="1653"/>
      <c r="I51" s="1653"/>
      <c r="J51" s="1653"/>
      <c r="K51" s="1653"/>
      <c r="L51" s="1653"/>
      <c r="M51" s="1653"/>
      <c r="N51" s="1653"/>
      <c r="O51" s="1653"/>
      <c r="P51" s="1654"/>
    </row>
    <row r="52" spans="2:18">
      <c r="B52" s="334"/>
      <c r="C52" s="335"/>
      <c r="D52" s="335" t="s">
        <v>1471</v>
      </c>
      <c r="E52" s="335" t="s">
        <v>1472</v>
      </c>
      <c r="F52" s="335" t="s">
        <v>1473</v>
      </c>
      <c r="G52" s="335" t="s">
        <v>1474</v>
      </c>
      <c r="H52" s="335" t="s">
        <v>1475</v>
      </c>
      <c r="I52" s="335" t="s">
        <v>1476</v>
      </c>
      <c r="J52" s="335" t="s">
        <v>1477</v>
      </c>
      <c r="K52" s="335" t="s">
        <v>1478</v>
      </c>
      <c r="L52" s="335" t="s">
        <v>1479</v>
      </c>
      <c r="M52" s="335" t="s">
        <v>1480</v>
      </c>
      <c r="N52" s="335" t="s">
        <v>1481</v>
      </c>
      <c r="O52" s="335" t="s">
        <v>4522</v>
      </c>
      <c r="P52" s="336"/>
    </row>
    <row r="53" spans="2:18" ht="20.25" customHeight="1">
      <c r="B53" s="337" t="s">
        <v>2912</v>
      </c>
      <c r="C53" s="251" t="s">
        <v>2898</v>
      </c>
      <c r="D53" s="339">
        <f>2384522.34/905153</f>
        <v>2.6343859435918566</v>
      </c>
      <c r="E53" s="340">
        <v>2.6807599999999998</v>
      </c>
      <c r="F53" s="340">
        <v>2.7410199999999998</v>
      </c>
      <c r="G53" s="340">
        <f>(1828242.31/740364)</f>
        <v>2.4693830467175606</v>
      </c>
      <c r="H53" s="340">
        <v>2.6627700000000001</v>
      </c>
      <c r="I53" s="340">
        <v>2.6334599999999999</v>
      </c>
      <c r="J53" s="340">
        <f>1744610.78/694776</f>
        <v>2.5110406519511326</v>
      </c>
      <c r="K53" s="340">
        <v>2.7290199999999998</v>
      </c>
      <c r="L53" s="340">
        <f>1660469.89/641232</f>
        <v>2.5894994167477603</v>
      </c>
      <c r="M53" s="340">
        <f>2627796.3/990259</f>
        <v>2.6536454604300488</v>
      </c>
      <c r="N53" s="340">
        <f>2657753.94/957763</f>
        <v>2.7749599222354591</v>
      </c>
      <c r="O53" s="340">
        <f>2292261.34/906342</f>
        <v>2.5291350726326263</v>
      </c>
      <c r="P53" s="341">
        <f>P55/P54</f>
        <v>2.6193975352880816</v>
      </c>
      <c r="R53" s="773"/>
    </row>
    <row r="54" spans="2:18">
      <c r="B54" s="337" t="s">
        <v>2914</v>
      </c>
      <c r="C54" s="251" t="s">
        <v>2893</v>
      </c>
      <c r="D54" s="342">
        <v>905153</v>
      </c>
      <c r="E54" s="338">
        <v>131942</v>
      </c>
      <c r="F54" s="338">
        <v>439870</v>
      </c>
      <c r="G54" s="338">
        <v>740364</v>
      </c>
      <c r="H54" s="338">
        <f>28686+71819</f>
        <v>100505</v>
      </c>
      <c r="I54" s="338">
        <f>31081+294215</f>
        <v>325296</v>
      </c>
      <c r="J54" s="338">
        <f>27892+666884</f>
        <v>694776</v>
      </c>
      <c r="K54" s="338">
        <v>185440</v>
      </c>
      <c r="L54" s="338">
        <v>641232</v>
      </c>
      <c r="M54" s="338">
        <v>990259</v>
      </c>
      <c r="N54" s="338">
        <f>927936+29827</f>
        <v>957763</v>
      </c>
      <c r="O54" s="338">
        <f>906342</f>
        <v>906342</v>
      </c>
      <c r="P54" s="251">
        <f>SUM(D54:O54)</f>
        <v>7018942</v>
      </c>
      <c r="R54" s="773"/>
    </row>
    <row r="55" spans="2:18">
      <c r="B55" s="337" t="s">
        <v>3557</v>
      </c>
      <c r="C55" s="251" t="s">
        <v>2903</v>
      </c>
      <c r="D55" s="251">
        <f t="shared" ref="D55:O55" si="7">D53*D54</f>
        <v>2384522.34</v>
      </c>
      <c r="E55" s="251">
        <f t="shared" si="7"/>
        <v>353704.83591999998</v>
      </c>
      <c r="F55" s="251">
        <f t="shared" si="7"/>
        <v>1205692.4674</v>
      </c>
      <c r="G55" s="251">
        <f t="shared" si="7"/>
        <v>1828242.31</v>
      </c>
      <c r="H55" s="251">
        <f t="shared" si="7"/>
        <v>267621.69884999999</v>
      </c>
      <c r="I55" s="251">
        <f t="shared" si="7"/>
        <v>856654.00416000001</v>
      </c>
      <c r="J55" s="251">
        <f t="shared" si="7"/>
        <v>1744610.78</v>
      </c>
      <c r="K55" s="251">
        <f t="shared" si="7"/>
        <v>506069.46879999997</v>
      </c>
      <c r="L55" s="251">
        <f t="shared" si="7"/>
        <v>1660469.89</v>
      </c>
      <c r="M55" s="251">
        <f t="shared" si="7"/>
        <v>2627796.2999999998</v>
      </c>
      <c r="N55" s="251">
        <f t="shared" si="7"/>
        <v>2657753.94</v>
      </c>
      <c r="O55" s="251">
        <f t="shared" si="7"/>
        <v>2292261.34</v>
      </c>
      <c r="P55" s="251">
        <f>SUM(D55:O55)</f>
        <v>18385399.375129998</v>
      </c>
      <c r="Q55" s="1484"/>
      <c r="R55" s="773"/>
    </row>
    <row r="56" spans="2:18" ht="25.5">
      <c r="B56" s="337" t="s">
        <v>2925</v>
      </c>
      <c r="C56" s="251" t="s">
        <v>2903</v>
      </c>
      <c r="D56" s="1655">
        <v>21805.62</v>
      </c>
      <c r="E56" s="1656"/>
      <c r="F56" s="1656"/>
      <c r="G56" s="1656"/>
      <c r="H56" s="1656"/>
      <c r="I56" s="1656"/>
      <c r="J56" s="1656"/>
      <c r="K56" s="1656"/>
      <c r="L56" s="1656"/>
      <c r="M56" s="1656"/>
      <c r="N56" s="1656"/>
      <c r="O56" s="1656"/>
      <c r="P56" s="1657"/>
      <c r="R56" s="773"/>
    </row>
    <row r="57" spans="2:18">
      <c r="P57" s="343">
        <f>P48+'п.п. 11 Б-4'!O59</f>
        <v>16523116.810079999</v>
      </c>
      <c r="R57" s="773"/>
    </row>
    <row r="58" spans="2:18">
      <c r="B58" s="1652" t="s">
        <v>3565</v>
      </c>
      <c r="C58" s="1653"/>
      <c r="D58" s="1653"/>
      <c r="E58" s="1653"/>
      <c r="F58" s="1653"/>
      <c r="G58" s="1653"/>
      <c r="H58" s="1653"/>
      <c r="I58" s="1653"/>
      <c r="J58" s="1653"/>
      <c r="K58" s="1653"/>
      <c r="L58" s="1653"/>
      <c r="M58" s="1653"/>
      <c r="N58" s="1653"/>
      <c r="O58" s="1653"/>
      <c r="P58" s="1654"/>
      <c r="R58" s="773"/>
    </row>
    <row r="59" spans="2:18">
      <c r="B59" s="334"/>
      <c r="C59" s="335"/>
      <c r="D59" s="335" t="s">
        <v>1471</v>
      </c>
      <c r="E59" s="335" t="s">
        <v>1472</v>
      </c>
      <c r="F59" s="335" t="s">
        <v>1473</v>
      </c>
      <c r="G59" s="335" t="s">
        <v>1474</v>
      </c>
      <c r="H59" s="335" t="s">
        <v>1475</v>
      </c>
      <c r="I59" s="335" t="s">
        <v>1476</v>
      </c>
      <c r="J59" s="335" t="s">
        <v>1477</v>
      </c>
      <c r="K59" s="335" t="s">
        <v>1478</v>
      </c>
      <c r="L59" s="335" t="s">
        <v>1479</v>
      </c>
      <c r="M59" s="335" t="s">
        <v>1480</v>
      </c>
      <c r="N59" s="335" t="s">
        <v>1481</v>
      </c>
      <c r="O59" s="335" t="s">
        <v>4522</v>
      </c>
      <c r="P59" s="336"/>
      <c r="R59" s="773"/>
    </row>
    <row r="60" spans="2:18" ht="20.25" customHeight="1">
      <c r="B60" s="337" t="s">
        <v>2912</v>
      </c>
      <c r="C60" s="251" t="s">
        <v>2898</v>
      </c>
      <c r="D60" s="339">
        <f>1563444.76/696156</f>
        <v>2.2458253035239228</v>
      </c>
      <c r="E60" s="340">
        <f>1912046.13/659029</f>
        <v>2.9013080304508603</v>
      </c>
      <c r="F60" s="340">
        <f>2816325.6/1.18/978215</f>
        <v>2.4398691598160851</v>
      </c>
      <c r="G60" s="340">
        <f>2913548.67/1027759</f>
        <v>2.8348559049349116</v>
      </c>
      <c r="H60" s="340">
        <f>833822.48/1.18/277998</f>
        <v>2.5418500145288205</v>
      </c>
      <c r="I60" s="340">
        <f>2.43317</f>
        <v>2.4331700000000001</v>
      </c>
      <c r="J60" s="340">
        <f>3054971.35/1054671</f>
        <v>2.8966107440140103</v>
      </c>
      <c r="K60" s="340">
        <f>1321662.93/447941</f>
        <v>2.9505290428873443</v>
      </c>
      <c r="L60" s="340">
        <f>1653283.84/L61</f>
        <v>3.0496921132969943</v>
      </c>
      <c r="M60" s="340">
        <v>3.3027600000000001</v>
      </c>
      <c r="N60" s="340">
        <f>3658873.41/1097272</f>
        <v>3.3345181595812159</v>
      </c>
      <c r="O60" s="340">
        <f>3943830.99/1299707</f>
        <v>3.0344000532427695</v>
      </c>
      <c r="P60" s="340">
        <f>P62/P61</f>
        <v>2.885422359957126</v>
      </c>
      <c r="R60" s="773"/>
    </row>
    <row r="61" spans="2:18">
      <c r="B61" s="337" t="s">
        <v>2914</v>
      </c>
      <c r="C61" s="251" t="s">
        <v>2893</v>
      </c>
      <c r="D61" s="342">
        <f>53275+642881</f>
        <v>696156</v>
      </c>
      <c r="E61" s="338">
        <v>659029</v>
      </c>
      <c r="F61" s="338">
        <v>978215</v>
      </c>
      <c r="G61" s="338">
        <v>1027759</v>
      </c>
      <c r="H61" s="338">
        <v>277998</v>
      </c>
      <c r="I61" s="338">
        <f>672253+30940</f>
        <v>703193</v>
      </c>
      <c r="J61" s="338">
        <f>1025799+28872</f>
        <v>1054671</v>
      </c>
      <c r="K61" s="338">
        <f>408933+39008</f>
        <v>447941</v>
      </c>
      <c r="L61" s="338">
        <v>542115</v>
      </c>
      <c r="M61" s="338">
        <v>1245312</v>
      </c>
      <c r="N61" s="338">
        <v>1097272</v>
      </c>
      <c r="O61" s="338">
        <f>1257121+42586</f>
        <v>1299707</v>
      </c>
      <c r="P61" s="251">
        <f>SUM(D61:O61)</f>
        <v>10029368</v>
      </c>
      <c r="R61" s="773">
        <f>P61/'п.п. 11 Б-2'!B259*100</f>
        <v>5.3760115994517985</v>
      </c>
    </row>
    <row r="62" spans="2:18">
      <c r="B62" s="337" t="s">
        <v>3557</v>
      </c>
      <c r="C62" s="251" t="s">
        <v>2903</v>
      </c>
      <c r="D62" s="251">
        <f t="shared" ref="D62:O62" si="8">D60*D61</f>
        <v>1563444.76</v>
      </c>
      <c r="E62" s="251">
        <f t="shared" si="8"/>
        <v>1912046.13</v>
      </c>
      <c r="F62" s="251">
        <f t="shared" si="8"/>
        <v>2386716.6101694917</v>
      </c>
      <c r="G62" s="251">
        <f t="shared" si="8"/>
        <v>2913548.67</v>
      </c>
      <c r="H62" s="251">
        <f t="shared" si="8"/>
        <v>706629.220338983</v>
      </c>
      <c r="I62" s="251">
        <f t="shared" si="8"/>
        <v>1710988.1118100001</v>
      </c>
      <c r="J62" s="251">
        <f t="shared" si="8"/>
        <v>3054971.35</v>
      </c>
      <c r="K62" s="251">
        <f t="shared" si="8"/>
        <v>1321662.93</v>
      </c>
      <c r="L62" s="251">
        <f t="shared" si="8"/>
        <v>1653283.8400000001</v>
      </c>
      <c r="M62" s="251">
        <f>M60*M61</f>
        <v>4112966.6611200003</v>
      </c>
      <c r="N62" s="251">
        <f t="shared" si="8"/>
        <v>3658873.41</v>
      </c>
      <c r="O62" s="251">
        <f t="shared" si="8"/>
        <v>3943830.99</v>
      </c>
      <c r="P62" s="251">
        <f>SUM(D62:O62)</f>
        <v>28938962.68343848</v>
      </c>
      <c r="Q62" s="1484"/>
      <c r="R62" s="773"/>
    </row>
    <row r="63" spans="2:18" ht="25.5">
      <c r="B63" s="337" t="s">
        <v>2925</v>
      </c>
      <c r="C63" s="251" t="s">
        <v>2903</v>
      </c>
      <c r="D63" s="1655"/>
      <c r="E63" s="1656"/>
      <c r="F63" s="1656"/>
      <c r="G63" s="1656"/>
      <c r="H63" s="1656"/>
      <c r="I63" s="1656"/>
      <c r="J63" s="1656"/>
      <c r="K63" s="1656"/>
      <c r="L63" s="1656"/>
      <c r="M63" s="1656"/>
      <c r="N63" s="1656"/>
      <c r="O63" s="1656"/>
      <c r="P63" s="1657"/>
      <c r="R63" s="773"/>
    </row>
    <row r="64" spans="2:18">
      <c r="R64" s="773"/>
    </row>
    <row r="65" spans="2:18">
      <c r="B65" s="1652" t="s">
        <v>270</v>
      </c>
      <c r="C65" s="1653"/>
      <c r="D65" s="1653"/>
      <c r="E65" s="1653"/>
      <c r="F65" s="1653"/>
      <c r="G65" s="1653"/>
      <c r="H65" s="1653"/>
      <c r="I65" s="1653"/>
      <c r="J65" s="1653"/>
      <c r="K65" s="1653"/>
      <c r="L65" s="1653"/>
      <c r="M65" s="1653"/>
      <c r="N65" s="1653"/>
      <c r="O65" s="1653"/>
      <c r="P65" s="1654"/>
      <c r="R65" s="773"/>
    </row>
    <row r="66" spans="2:18">
      <c r="B66" s="334"/>
      <c r="C66" s="335"/>
      <c r="D66" s="335" t="s">
        <v>1471</v>
      </c>
      <c r="E66" s="335" t="s">
        <v>1472</v>
      </c>
      <c r="F66" s="335" t="s">
        <v>1473</v>
      </c>
      <c r="G66" s="335" t="s">
        <v>1474</v>
      </c>
      <c r="H66" s="335" t="s">
        <v>1475</v>
      </c>
      <c r="I66" s="335" t="s">
        <v>1476</v>
      </c>
      <c r="J66" s="335" t="s">
        <v>1477</v>
      </c>
      <c r="K66" s="335" t="s">
        <v>1478</v>
      </c>
      <c r="L66" s="335" t="s">
        <v>1479</v>
      </c>
      <c r="M66" s="335" t="s">
        <v>1480</v>
      </c>
      <c r="N66" s="335" t="s">
        <v>1481</v>
      </c>
      <c r="O66" s="335" t="s">
        <v>4522</v>
      </c>
      <c r="P66" s="336"/>
      <c r="R66" s="773"/>
    </row>
    <row r="67" spans="2:18" ht="20.25" customHeight="1">
      <c r="B67" s="337" t="s">
        <v>2912</v>
      </c>
      <c r="C67" s="251" t="s">
        <v>2898</v>
      </c>
      <c r="D67" s="339">
        <v>3.0921500000000002</v>
      </c>
      <c r="E67" s="340">
        <v>3.2476799999999999</v>
      </c>
      <c r="F67" s="340"/>
      <c r="G67" s="340"/>
      <c r="H67" s="340"/>
      <c r="I67" s="340"/>
      <c r="J67" s="340"/>
      <c r="K67" s="340"/>
      <c r="L67" s="340"/>
      <c r="M67" s="340"/>
      <c r="N67" s="340"/>
      <c r="O67" s="340"/>
      <c r="P67" s="340">
        <f>P69/P68</f>
        <v>3.1827594318676646</v>
      </c>
      <c r="R67" s="773"/>
    </row>
    <row r="68" spans="2:18">
      <c r="B68" s="337" t="s">
        <v>2914</v>
      </c>
      <c r="C68" s="251" t="s">
        <v>2893</v>
      </c>
      <c r="D68" s="342">
        <f>355482+48082</f>
        <v>403564</v>
      </c>
      <c r="E68" s="338">
        <f>517497+45756</f>
        <v>563253</v>
      </c>
      <c r="F68" s="338"/>
      <c r="G68" s="338"/>
      <c r="H68" s="338"/>
      <c r="I68" s="338"/>
      <c r="J68" s="338"/>
      <c r="K68" s="338"/>
      <c r="L68" s="338"/>
      <c r="M68" s="338"/>
      <c r="N68" s="338"/>
      <c r="O68" s="338"/>
      <c r="P68" s="251">
        <f>SUM(D68:O68)</f>
        <v>966817</v>
      </c>
      <c r="R68" s="773"/>
    </row>
    <row r="69" spans="2:18">
      <c r="B69" s="337" t="s">
        <v>3557</v>
      </c>
      <c r="C69" s="251" t="s">
        <v>2903</v>
      </c>
      <c r="D69" s="251">
        <f t="shared" ref="D69:O69" si="9">D67*D68</f>
        <v>1247880.4226000002</v>
      </c>
      <c r="E69" s="251">
        <f t="shared" si="9"/>
        <v>1829265.5030399999</v>
      </c>
      <c r="F69" s="251">
        <f t="shared" si="9"/>
        <v>0</v>
      </c>
      <c r="G69" s="251">
        <f t="shared" si="9"/>
        <v>0</v>
      </c>
      <c r="H69" s="251">
        <f t="shared" si="9"/>
        <v>0</v>
      </c>
      <c r="I69" s="251">
        <f t="shared" si="9"/>
        <v>0</v>
      </c>
      <c r="J69" s="251">
        <f t="shared" si="9"/>
        <v>0</v>
      </c>
      <c r="K69" s="251">
        <f t="shared" si="9"/>
        <v>0</v>
      </c>
      <c r="L69" s="251">
        <f t="shared" si="9"/>
        <v>0</v>
      </c>
      <c r="M69" s="251">
        <f t="shared" si="9"/>
        <v>0</v>
      </c>
      <c r="N69" s="251">
        <f t="shared" si="9"/>
        <v>0</v>
      </c>
      <c r="O69" s="251">
        <f t="shared" si="9"/>
        <v>0</v>
      </c>
      <c r="P69" s="251">
        <f>SUM(D69:O69)</f>
        <v>3077145.92564</v>
      </c>
      <c r="Q69" s="1484"/>
      <c r="R69" s="773"/>
    </row>
    <row r="70" spans="2:18" ht="25.5">
      <c r="B70" s="337" t="s">
        <v>2925</v>
      </c>
      <c r="C70" s="251" t="s">
        <v>2903</v>
      </c>
      <c r="D70" s="1655"/>
      <c r="E70" s="1656"/>
      <c r="F70" s="1656"/>
      <c r="G70" s="1656"/>
      <c r="H70" s="1656"/>
      <c r="I70" s="1656"/>
      <c r="J70" s="1656"/>
      <c r="K70" s="1656"/>
      <c r="L70" s="1656"/>
      <c r="M70" s="1656"/>
      <c r="N70" s="1656"/>
      <c r="O70" s="1656"/>
      <c r="P70" s="1657"/>
      <c r="R70" s="773"/>
    </row>
  </sheetData>
  <mergeCells count="14">
    <mergeCell ref="B38:P38"/>
    <mergeCell ref="B32:P32"/>
    <mergeCell ref="B4:P4"/>
    <mergeCell ref="B12:P12"/>
    <mergeCell ref="B20:P20"/>
    <mergeCell ref="B26:P26"/>
    <mergeCell ref="B65:P65"/>
    <mergeCell ref="D70:P70"/>
    <mergeCell ref="B44:P44"/>
    <mergeCell ref="D63:P63"/>
    <mergeCell ref="D49:P49"/>
    <mergeCell ref="B51:P51"/>
    <mergeCell ref="D56:P56"/>
    <mergeCell ref="B58:P58"/>
  </mergeCells>
  <phoneticPr fontId="0" type="noConversion"/>
  <hyperlinks>
    <hyperlink ref="B1" location="Главная!A1" display="Переход на главную страницу"/>
  </hyperlinks>
  <pageMargins left="0.7" right="0.7" top="0.75" bottom="0.75" header="0.3" footer="0.3"/>
  <pageSetup paperSize="9" scale="58" fitToHeight="0" orientation="landscape" r:id="rId1"/>
  <rowBreaks count="1" manualBreakCount="1">
    <brk id="37" max="16383" man="1"/>
  </rowBreaks>
</worksheet>
</file>

<file path=xl/worksheets/sheet11.xml><?xml version="1.0" encoding="utf-8"?>
<worksheet xmlns="http://schemas.openxmlformats.org/spreadsheetml/2006/main" xmlns:r="http://schemas.openxmlformats.org/officeDocument/2006/relationships">
  <dimension ref="A1:D5"/>
  <sheetViews>
    <sheetView topLeftCell="A4" workbookViewId="0">
      <selection activeCell="A11" sqref="A11"/>
    </sheetView>
  </sheetViews>
  <sheetFormatPr defaultRowHeight="14.25"/>
  <cols>
    <col min="1" max="1" width="9.140625" style="319"/>
    <col min="2" max="2" width="48.5703125" style="319" bestFit="1" customWidth="1"/>
    <col min="3" max="16384" width="9.140625" style="319"/>
  </cols>
  <sheetData>
    <row r="1" spans="1:4" ht="15.75">
      <c r="B1" s="79" t="s">
        <v>724</v>
      </c>
      <c r="D1" s="319" t="s">
        <v>3566</v>
      </c>
    </row>
    <row r="3" spans="1:4" ht="19.5" customHeight="1">
      <c r="B3" s="344" t="s">
        <v>3567</v>
      </c>
    </row>
    <row r="4" spans="1:4">
      <c r="A4" s="345" t="s">
        <v>3568</v>
      </c>
      <c r="B4" s="319" t="s">
        <v>4164</v>
      </c>
    </row>
    <row r="5" spans="1:4">
      <c r="A5" s="345" t="s">
        <v>3568</v>
      </c>
      <c r="B5" s="319" t="s">
        <v>4165</v>
      </c>
    </row>
  </sheetData>
  <phoneticPr fontId="0" type="noConversion"/>
  <hyperlinks>
    <hyperlink ref="B1" location="Главная!A1" display="Переход на главную страницу"/>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FS41"/>
  <sheetViews>
    <sheetView view="pageBreakPreview" topLeftCell="A7" zoomScaleNormal="150" zoomScaleSheetLayoutView="100" workbookViewId="0">
      <selection activeCell="EI5" sqref="EI5"/>
    </sheetView>
  </sheetViews>
  <sheetFormatPr defaultColWidth="0.85546875" defaultRowHeight="12.75"/>
  <cols>
    <col min="1" max="1" width="4.140625" style="1406" customWidth="1"/>
    <col min="2" max="2" width="0.140625" style="1406" customWidth="1"/>
    <col min="3" max="3" width="0.85546875" style="1406" hidden="1" customWidth="1"/>
    <col min="4" max="4" width="1.85546875" style="1406" hidden="1" customWidth="1"/>
    <col min="5" max="5" width="21.140625" style="1406" customWidth="1"/>
    <col min="6" max="10" width="0.85546875" style="1406" hidden="1" customWidth="1"/>
    <col min="11" max="11" width="2.140625" style="1406" hidden="1" customWidth="1"/>
    <col min="12" max="12" width="14.28515625" style="1406" customWidth="1"/>
    <col min="13" max="15" width="0.85546875" style="1406" hidden="1" customWidth="1"/>
    <col min="16" max="16" width="4.140625" style="1406" hidden="1" customWidth="1"/>
    <col min="17" max="17" width="3.5703125" style="1406" hidden="1" customWidth="1"/>
    <col min="18" max="18" width="6.28515625" style="1406" customWidth="1"/>
    <col min="19" max="19" width="0.140625" style="1406" customWidth="1"/>
    <col min="20" max="21" width="0.85546875" style="1406" hidden="1" customWidth="1"/>
    <col min="22" max="22" width="3" style="1406" hidden="1" customWidth="1"/>
    <col min="23" max="23" width="6" style="1406" customWidth="1"/>
    <col min="24" max="27" width="0.85546875" style="1406" hidden="1" customWidth="1"/>
    <col min="28" max="28" width="4.42578125" style="1406" customWidth="1"/>
    <col min="29" max="29" width="0.140625" style="1406" customWidth="1"/>
    <col min="30" max="32" width="0.85546875" style="1406" hidden="1" customWidth="1"/>
    <col min="33" max="33" width="4.140625" style="1406" customWidth="1"/>
    <col min="34" max="34" width="0.140625" style="1406" customWidth="1"/>
    <col min="35" max="37" width="0.85546875" style="1406" hidden="1" customWidth="1"/>
    <col min="38" max="38" width="4.140625" style="1406" customWidth="1"/>
    <col min="39" max="42" width="0.85546875" style="1406" hidden="1" customWidth="1"/>
    <col min="43" max="43" width="3.42578125" style="1406" customWidth="1"/>
    <col min="44" max="46" width="0.85546875" style="1406" hidden="1" customWidth="1"/>
    <col min="47" max="47" width="3.42578125" style="1406" customWidth="1"/>
    <col min="48" max="48" width="0.140625" style="1406" customWidth="1"/>
    <col min="49" max="50" width="0.85546875" style="1406" hidden="1" customWidth="1"/>
    <col min="51" max="51" width="3.42578125" style="1406" customWidth="1"/>
    <col min="52" max="54" width="0.85546875" style="1406" hidden="1" customWidth="1"/>
    <col min="55" max="55" width="3.42578125" style="1406" customWidth="1"/>
    <col min="56" max="56" width="0.140625" style="1406" customWidth="1"/>
    <col min="57" max="58" width="0.85546875" style="1406" hidden="1" customWidth="1"/>
    <col min="59" max="59" width="3.28515625" style="1406" customWidth="1"/>
    <col min="60" max="60" width="0.140625" style="1406" customWidth="1"/>
    <col min="61" max="62" width="0.85546875" style="1406" hidden="1" customWidth="1"/>
    <col min="63" max="63" width="3.28515625" style="1406" customWidth="1"/>
    <col min="64" max="64" width="0.140625" style="1406" customWidth="1"/>
    <col min="65" max="66" width="0.85546875" style="1406" hidden="1" customWidth="1"/>
    <col min="67" max="67" width="3.42578125" style="1406" customWidth="1"/>
    <col min="68" max="70" width="0.85546875" style="1406" hidden="1" customWidth="1"/>
    <col min="71" max="71" width="3.28515625" style="1406" customWidth="1"/>
    <col min="72" max="72" width="0.140625" style="1406" customWidth="1"/>
    <col min="73" max="75" width="0.85546875" style="1406" hidden="1" customWidth="1"/>
    <col min="76" max="76" width="3.5703125" style="1406" customWidth="1"/>
    <col min="77" max="77" width="0.140625" style="1406" customWidth="1"/>
    <col min="78" max="79" width="0.85546875" style="1406" hidden="1" customWidth="1"/>
    <col min="80" max="80" width="3.42578125" style="1406" customWidth="1"/>
    <col min="81" max="83" width="0.85546875" style="1406" hidden="1" customWidth="1"/>
    <col min="84" max="84" width="3.42578125" style="1406" customWidth="1"/>
    <col min="85" max="85" width="0.140625" style="1406" customWidth="1"/>
    <col min="86" max="87" width="0.85546875" style="1406" hidden="1" customWidth="1"/>
    <col min="88" max="88" width="3.42578125" style="1406" customWidth="1"/>
    <col min="89" max="89" width="1" style="1406" customWidth="1"/>
    <col min="90" max="91" width="0.85546875" style="1406" hidden="1" customWidth="1"/>
    <col min="92" max="92" width="4.42578125" style="1406" customWidth="1"/>
    <col min="93" max="95" width="0.85546875" style="1406" hidden="1" customWidth="1"/>
    <col min="96" max="96" width="4.5703125" style="1406" customWidth="1"/>
    <col min="97" max="97" width="0.140625" style="1406" hidden="1" customWidth="1"/>
    <col min="98" max="99" width="0.85546875" style="1406" hidden="1" customWidth="1"/>
    <col min="100" max="100" width="3.5703125" style="1406" hidden="1" customWidth="1"/>
    <col min="101" max="101" width="3.5703125" style="1406" customWidth="1"/>
    <col min="102" max="102" width="0.140625" style="1406" hidden="1" customWidth="1"/>
    <col min="103" max="105" width="0.85546875" style="1406" hidden="1" customWidth="1"/>
    <col min="106" max="106" width="3" style="1406" customWidth="1"/>
    <col min="107" max="128" width="0.85546875" style="1406" customWidth="1"/>
    <col min="129" max="129" width="15.42578125" style="1406" customWidth="1"/>
    <col min="130" max="130" width="0.85546875" style="1406" customWidth="1"/>
    <col min="131" max="131" width="0.28515625" style="1406" customWidth="1"/>
    <col min="132" max="132" width="0.85546875" style="1406" hidden="1" customWidth="1"/>
    <col min="133" max="133" width="3" style="1406" hidden="1" customWidth="1"/>
    <col min="134" max="134" width="13.42578125" style="1406" customWidth="1"/>
    <col min="135" max="138" width="0.85546875" style="1406" customWidth="1"/>
    <col min="139" max="139" width="15.140625" style="1406" customWidth="1"/>
    <col min="140" max="143" width="0.85546875" style="1406" customWidth="1"/>
    <col min="144" max="144" width="5" style="1406" customWidth="1"/>
    <col min="145" max="146" width="0.85546875" style="1406" customWidth="1"/>
    <col min="147" max="147" width="4.5703125" style="1406" customWidth="1"/>
    <col min="148" max="154" width="0.85546875" style="1406" customWidth="1"/>
    <col min="155" max="155" width="2.28515625" style="1406" customWidth="1"/>
    <col min="156" max="160" width="0.85546875" style="1406" customWidth="1"/>
    <col min="161" max="161" width="21" style="1406" customWidth="1"/>
    <col min="162" max="162" width="12.42578125" style="1406" customWidth="1"/>
    <col min="163" max="166" width="0.85546875" style="1406" customWidth="1"/>
    <col min="167" max="167" width="2.42578125" style="1406" customWidth="1"/>
    <col min="168" max="168" width="0.85546875" style="1406"/>
    <col min="169" max="169" width="5.5703125" style="1406" customWidth="1"/>
    <col min="170" max="174" width="0.85546875" style="1406"/>
    <col min="175" max="175" width="9.7109375" style="1406" customWidth="1"/>
    <col min="176" max="16384" width="0.85546875" style="1406"/>
  </cols>
  <sheetData>
    <row r="1" spans="1:167" ht="15.75">
      <c r="E1" s="79" t="s">
        <v>724</v>
      </c>
      <c r="EI1" s="319" t="s">
        <v>4166</v>
      </c>
    </row>
    <row r="2" spans="1:167" ht="15.75">
      <c r="E2" s="79"/>
    </row>
    <row r="3" spans="1:167">
      <c r="E3" s="1406" t="s">
        <v>1956</v>
      </c>
    </row>
    <row r="5" spans="1:167">
      <c r="A5" s="1418" t="s">
        <v>3568</v>
      </c>
      <c r="E5" s="1406" t="s">
        <v>1953</v>
      </c>
    </row>
    <row r="6" spans="1:167">
      <c r="A6" s="1418"/>
      <c r="E6" s="1406" t="s">
        <v>1954</v>
      </c>
    </row>
    <row r="7" spans="1:167" ht="3.75" customHeight="1">
      <c r="A7" s="1418"/>
    </row>
    <row r="8" spans="1:167">
      <c r="A8" s="1418" t="s">
        <v>3568</v>
      </c>
      <c r="E8" s="1406" t="s">
        <v>4919</v>
      </c>
    </row>
    <row r="10" spans="1:167" s="1407" customFormat="1" ht="100.5" customHeight="1">
      <c r="A10" s="1719" t="s">
        <v>3106</v>
      </c>
      <c r="B10" s="1720"/>
      <c r="C10" s="1720"/>
      <c r="D10" s="1721"/>
      <c r="E10" s="1719" t="s">
        <v>1761</v>
      </c>
      <c r="F10" s="1720"/>
      <c r="G10" s="1720"/>
      <c r="H10" s="1720"/>
      <c r="I10" s="1720"/>
      <c r="J10" s="1720"/>
      <c r="K10" s="1721"/>
      <c r="L10" s="1719" t="s">
        <v>1762</v>
      </c>
      <c r="M10" s="1720"/>
      <c r="N10" s="1720"/>
      <c r="O10" s="1720"/>
      <c r="P10" s="1720"/>
      <c r="Q10" s="1721"/>
      <c r="R10" s="1719" t="s">
        <v>1763</v>
      </c>
      <c r="S10" s="1720"/>
      <c r="T10" s="1720"/>
      <c r="U10" s="1720"/>
      <c r="V10" s="1721"/>
      <c r="W10" s="1719" t="s">
        <v>1764</v>
      </c>
      <c r="X10" s="1720"/>
      <c r="Y10" s="1720"/>
      <c r="Z10" s="1720"/>
      <c r="AA10" s="1721"/>
      <c r="AB10" s="1719" t="s">
        <v>1765</v>
      </c>
      <c r="AC10" s="1720"/>
      <c r="AD10" s="1720"/>
      <c r="AE10" s="1720"/>
      <c r="AF10" s="1721"/>
      <c r="AG10" s="1719" t="s">
        <v>1766</v>
      </c>
      <c r="AH10" s="1720"/>
      <c r="AI10" s="1720"/>
      <c r="AJ10" s="1720"/>
      <c r="AK10" s="1721"/>
      <c r="AL10" s="1719" t="s">
        <v>1767</v>
      </c>
      <c r="AM10" s="1720"/>
      <c r="AN10" s="1720"/>
      <c r="AO10" s="1720"/>
      <c r="AP10" s="1721"/>
      <c r="AQ10" s="1710" t="s">
        <v>1768</v>
      </c>
      <c r="AR10" s="1711"/>
      <c r="AS10" s="1711"/>
      <c r="AT10" s="1711"/>
      <c r="AU10" s="1711"/>
      <c r="AV10" s="1711"/>
      <c r="AW10" s="1711"/>
      <c r="AX10" s="1711"/>
      <c r="AY10" s="1711"/>
      <c r="AZ10" s="1711"/>
      <c r="BA10" s="1711"/>
      <c r="BB10" s="1711"/>
      <c r="BC10" s="1711"/>
      <c r="BD10" s="1711"/>
      <c r="BE10" s="1711"/>
      <c r="BF10" s="1711"/>
      <c r="BG10" s="1711"/>
      <c r="BH10" s="1711"/>
      <c r="BI10" s="1711"/>
      <c r="BJ10" s="1711"/>
      <c r="BK10" s="1711"/>
      <c r="BL10" s="1711"/>
      <c r="BM10" s="1711"/>
      <c r="BN10" s="1711"/>
      <c r="BO10" s="1711"/>
      <c r="BP10" s="1711"/>
      <c r="BQ10" s="1711"/>
      <c r="BR10" s="1711"/>
      <c r="BS10" s="1711"/>
      <c r="BT10" s="1711"/>
      <c r="BU10" s="1711"/>
      <c r="BV10" s="1711"/>
      <c r="BW10" s="1712"/>
      <c r="BX10" s="1710" t="s">
        <v>1769</v>
      </c>
      <c r="BY10" s="1711"/>
      <c r="BZ10" s="1711"/>
      <c r="CA10" s="1711"/>
      <c r="CB10" s="1711"/>
      <c r="CC10" s="1711"/>
      <c r="CD10" s="1711"/>
      <c r="CE10" s="1711"/>
      <c r="CF10" s="1711"/>
      <c r="CG10" s="1711"/>
      <c r="CH10" s="1711"/>
      <c r="CI10" s="1711"/>
      <c r="CJ10" s="1711"/>
      <c r="CK10" s="1711"/>
      <c r="CL10" s="1711"/>
      <c r="CM10" s="1711"/>
      <c r="CN10" s="1711"/>
      <c r="CO10" s="1711"/>
      <c r="CP10" s="1711"/>
      <c r="CQ10" s="1711"/>
      <c r="CR10" s="1711"/>
      <c r="CS10" s="1711"/>
      <c r="CT10" s="1711"/>
      <c r="CU10" s="1711"/>
      <c r="CV10" s="1711"/>
      <c r="CW10" s="1711"/>
      <c r="CX10" s="1711"/>
      <c r="CY10" s="1711"/>
      <c r="CZ10" s="1711"/>
      <c r="DA10" s="1711"/>
      <c r="DB10" s="1711"/>
      <c r="DC10" s="1711"/>
      <c r="DD10" s="1711"/>
      <c r="DE10" s="1711"/>
      <c r="DF10" s="1711"/>
      <c r="DG10" s="1711"/>
      <c r="DH10" s="1711"/>
      <c r="DI10" s="1711"/>
      <c r="DJ10" s="1711"/>
      <c r="DK10" s="1711"/>
      <c r="DL10" s="1711"/>
      <c r="DM10" s="1711"/>
      <c r="DN10" s="1711"/>
      <c r="DO10" s="1711"/>
      <c r="DP10" s="1711"/>
      <c r="DQ10" s="1711"/>
      <c r="DR10" s="1711"/>
      <c r="DS10" s="1711"/>
      <c r="DT10" s="1711"/>
      <c r="DU10" s="1711"/>
      <c r="DV10" s="1711"/>
      <c r="DW10" s="1711"/>
      <c r="DX10" s="1712"/>
      <c r="DY10" s="1719" t="s">
        <v>668</v>
      </c>
      <c r="DZ10" s="1720"/>
      <c r="EA10" s="1720"/>
      <c r="EB10" s="1720"/>
      <c r="EC10" s="1721"/>
      <c r="ED10" s="1719" t="s">
        <v>1882</v>
      </c>
      <c r="EE10" s="1720"/>
      <c r="EF10" s="1720"/>
      <c r="EG10" s="1720"/>
      <c r="EH10" s="1721"/>
      <c r="EI10" s="1719" t="s">
        <v>1883</v>
      </c>
      <c r="EJ10" s="1720"/>
      <c r="EK10" s="1720"/>
      <c r="EL10" s="1720"/>
      <c r="EM10" s="1721"/>
      <c r="EN10" s="1719" t="s">
        <v>1884</v>
      </c>
      <c r="EO10" s="1720"/>
      <c r="EP10" s="1720"/>
      <c r="EQ10" s="1721"/>
      <c r="ER10" s="1719" t="s">
        <v>1885</v>
      </c>
      <c r="ES10" s="1720"/>
      <c r="ET10" s="1720"/>
      <c r="EU10" s="1720"/>
      <c r="EV10" s="1720"/>
      <c r="EW10" s="1720"/>
      <c r="EX10" s="1720"/>
      <c r="EY10" s="1721"/>
      <c r="EZ10" s="1719" t="s">
        <v>1886</v>
      </c>
      <c r="FA10" s="1720"/>
      <c r="FB10" s="1720"/>
      <c r="FC10" s="1720"/>
      <c r="FD10" s="1720"/>
      <c r="FE10" s="1721"/>
      <c r="FF10" s="1719" t="s">
        <v>1887</v>
      </c>
      <c r="FG10" s="1720"/>
      <c r="FH10" s="1720"/>
      <c r="FI10" s="1720"/>
      <c r="FJ10" s="1720"/>
      <c r="FK10" s="1721"/>
    </row>
    <row r="11" spans="1:167" s="1407" customFormat="1" ht="100.5" customHeight="1">
      <c r="A11" s="1722"/>
      <c r="B11" s="1723"/>
      <c r="C11" s="1723"/>
      <c r="D11" s="1724"/>
      <c r="E11" s="1722"/>
      <c r="F11" s="1723"/>
      <c r="G11" s="1723"/>
      <c r="H11" s="1723"/>
      <c r="I11" s="1723"/>
      <c r="J11" s="1723"/>
      <c r="K11" s="1724"/>
      <c r="L11" s="1722"/>
      <c r="M11" s="1723"/>
      <c r="N11" s="1723"/>
      <c r="O11" s="1723"/>
      <c r="P11" s="1723"/>
      <c r="Q11" s="1724"/>
      <c r="R11" s="1722"/>
      <c r="S11" s="1723"/>
      <c r="T11" s="1723"/>
      <c r="U11" s="1723"/>
      <c r="V11" s="1724"/>
      <c r="W11" s="1722"/>
      <c r="X11" s="1723"/>
      <c r="Y11" s="1723"/>
      <c r="Z11" s="1723"/>
      <c r="AA11" s="1724"/>
      <c r="AB11" s="1722"/>
      <c r="AC11" s="1723"/>
      <c r="AD11" s="1723"/>
      <c r="AE11" s="1723"/>
      <c r="AF11" s="1724"/>
      <c r="AG11" s="1722"/>
      <c r="AH11" s="1723"/>
      <c r="AI11" s="1723"/>
      <c r="AJ11" s="1723"/>
      <c r="AK11" s="1724"/>
      <c r="AL11" s="1722"/>
      <c r="AM11" s="1723"/>
      <c r="AN11" s="1723"/>
      <c r="AO11" s="1723"/>
      <c r="AP11" s="1724"/>
      <c r="AQ11" s="1710" t="s">
        <v>1888</v>
      </c>
      <c r="AR11" s="1711"/>
      <c r="AS11" s="1711"/>
      <c r="AT11" s="1711"/>
      <c r="AU11" s="1711"/>
      <c r="AV11" s="1711"/>
      <c r="AW11" s="1711"/>
      <c r="AX11" s="1711"/>
      <c r="AY11" s="1711"/>
      <c r="AZ11" s="1711"/>
      <c r="BA11" s="1711"/>
      <c r="BB11" s="1711"/>
      <c r="BC11" s="1711"/>
      <c r="BD11" s="1711"/>
      <c r="BE11" s="1711"/>
      <c r="BF11" s="1711"/>
      <c r="BG11" s="1711"/>
      <c r="BH11" s="1711"/>
      <c r="BI11" s="1711"/>
      <c r="BJ11" s="1712"/>
      <c r="BK11" s="1719" t="s">
        <v>1889</v>
      </c>
      <c r="BL11" s="1720"/>
      <c r="BM11" s="1720"/>
      <c r="BN11" s="1721"/>
      <c r="BO11" s="1719" t="s">
        <v>1890</v>
      </c>
      <c r="BP11" s="1720"/>
      <c r="BQ11" s="1720"/>
      <c r="BR11" s="1721"/>
      <c r="BS11" s="1719" t="s">
        <v>1891</v>
      </c>
      <c r="BT11" s="1720"/>
      <c r="BU11" s="1720"/>
      <c r="BV11" s="1720"/>
      <c r="BW11" s="1721"/>
      <c r="BX11" s="1710" t="s">
        <v>1888</v>
      </c>
      <c r="BY11" s="1711"/>
      <c r="BZ11" s="1711"/>
      <c r="CA11" s="1711"/>
      <c r="CB11" s="1711"/>
      <c r="CC11" s="1711"/>
      <c r="CD11" s="1711"/>
      <c r="CE11" s="1711"/>
      <c r="CF11" s="1711"/>
      <c r="CG11" s="1711"/>
      <c r="CH11" s="1711"/>
      <c r="CI11" s="1711"/>
      <c r="CJ11" s="1711"/>
      <c r="CK11" s="1711"/>
      <c r="CL11" s="1711"/>
      <c r="CM11" s="1711"/>
      <c r="CN11" s="1711"/>
      <c r="CO11" s="1711"/>
      <c r="CP11" s="1711"/>
      <c r="CQ11" s="1711"/>
      <c r="CR11" s="1711"/>
      <c r="CS11" s="1711"/>
      <c r="CT11" s="1711"/>
      <c r="CU11" s="1711"/>
      <c r="CV11" s="1711"/>
      <c r="CW11" s="1711"/>
      <c r="CX11" s="1711"/>
      <c r="CY11" s="1711"/>
      <c r="CZ11" s="1711"/>
      <c r="DA11" s="1711"/>
      <c r="DB11" s="1711"/>
      <c r="DC11" s="1711"/>
      <c r="DD11" s="1711"/>
      <c r="DE11" s="1711"/>
      <c r="DF11" s="1711"/>
      <c r="DG11" s="1711"/>
      <c r="DH11" s="1711"/>
      <c r="DI11" s="1711"/>
      <c r="DJ11" s="1711"/>
      <c r="DK11" s="1712"/>
      <c r="DL11" s="1719" t="s">
        <v>1889</v>
      </c>
      <c r="DM11" s="1720"/>
      <c r="DN11" s="1720"/>
      <c r="DO11" s="1721"/>
      <c r="DP11" s="1719" t="s">
        <v>1890</v>
      </c>
      <c r="DQ11" s="1720"/>
      <c r="DR11" s="1720"/>
      <c r="DS11" s="1721"/>
      <c r="DT11" s="1719" t="s">
        <v>1892</v>
      </c>
      <c r="DU11" s="1720"/>
      <c r="DV11" s="1720"/>
      <c r="DW11" s="1720"/>
      <c r="DX11" s="1721"/>
      <c r="DY11" s="1722"/>
      <c r="DZ11" s="1723"/>
      <c r="EA11" s="1723"/>
      <c r="EB11" s="1723"/>
      <c r="EC11" s="1724"/>
      <c r="ED11" s="1722"/>
      <c r="EE11" s="1723"/>
      <c r="EF11" s="1723"/>
      <c r="EG11" s="1723"/>
      <c r="EH11" s="1724"/>
      <c r="EI11" s="1722"/>
      <c r="EJ11" s="1723"/>
      <c r="EK11" s="1723"/>
      <c r="EL11" s="1723"/>
      <c r="EM11" s="1724"/>
      <c r="EN11" s="1722"/>
      <c r="EO11" s="1723"/>
      <c r="EP11" s="1723"/>
      <c r="EQ11" s="1724"/>
      <c r="ER11" s="1722"/>
      <c r="ES11" s="1723"/>
      <c r="ET11" s="1723"/>
      <c r="EU11" s="1723"/>
      <c r="EV11" s="1723"/>
      <c r="EW11" s="1723"/>
      <c r="EX11" s="1723"/>
      <c r="EY11" s="1724"/>
      <c r="EZ11" s="1722"/>
      <c r="FA11" s="1723"/>
      <c r="FB11" s="1723"/>
      <c r="FC11" s="1723"/>
      <c r="FD11" s="1723"/>
      <c r="FE11" s="1724"/>
      <c r="FF11" s="1722"/>
      <c r="FG11" s="1723"/>
      <c r="FH11" s="1723"/>
      <c r="FI11" s="1723"/>
      <c r="FJ11" s="1723"/>
      <c r="FK11" s="1724"/>
    </row>
    <row r="12" spans="1:167" s="1407" customFormat="1" ht="102" customHeight="1">
      <c r="A12" s="1722"/>
      <c r="B12" s="1723"/>
      <c r="C12" s="1723"/>
      <c r="D12" s="1724"/>
      <c r="E12" s="1722"/>
      <c r="F12" s="1723"/>
      <c r="G12" s="1723"/>
      <c r="H12" s="1723"/>
      <c r="I12" s="1723"/>
      <c r="J12" s="1723"/>
      <c r="K12" s="1724"/>
      <c r="L12" s="1722"/>
      <c r="M12" s="1723"/>
      <c r="N12" s="1723"/>
      <c r="O12" s="1723"/>
      <c r="P12" s="1723"/>
      <c r="Q12" s="1724"/>
      <c r="R12" s="1722"/>
      <c r="S12" s="1723"/>
      <c r="T12" s="1723"/>
      <c r="U12" s="1723"/>
      <c r="V12" s="1724"/>
      <c r="W12" s="1722"/>
      <c r="X12" s="1723"/>
      <c r="Y12" s="1723"/>
      <c r="Z12" s="1723"/>
      <c r="AA12" s="1724"/>
      <c r="AB12" s="1722"/>
      <c r="AC12" s="1723"/>
      <c r="AD12" s="1723"/>
      <c r="AE12" s="1723"/>
      <c r="AF12" s="1724"/>
      <c r="AG12" s="1722"/>
      <c r="AH12" s="1723"/>
      <c r="AI12" s="1723"/>
      <c r="AJ12" s="1723"/>
      <c r="AK12" s="1724"/>
      <c r="AL12" s="1722"/>
      <c r="AM12" s="1723"/>
      <c r="AN12" s="1723"/>
      <c r="AO12" s="1723"/>
      <c r="AP12" s="1724"/>
      <c r="AQ12" s="1713" t="s">
        <v>1893</v>
      </c>
      <c r="AR12" s="1714"/>
      <c r="AS12" s="1714"/>
      <c r="AT12" s="1714"/>
      <c r="AU12" s="1714"/>
      <c r="AV12" s="1714"/>
      <c r="AW12" s="1714"/>
      <c r="AX12" s="1715"/>
      <c r="AY12" s="1713" t="s">
        <v>1894</v>
      </c>
      <c r="AZ12" s="1714"/>
      <c r="BA12" s="1714"/>
      <c r="BB12" s="1714"/>
      <c r="BC12" s="1714"/>
      <c r="BD12" s="1714"/>
      <c r="BE12" s="1714"/>
      <c r="BF12" s="1715"/>
      <c r="BG12" s="1719" t="s">
        <v>1895</v>
      </c>
      <c r="BH12" s="1720"/>
      <c r="BI12" s="1720"/>
      <c r="BJ12" s="1721"/>
      <c r="BK12" s="1722"/>
      <c r="BL12" s="1723"/>
      <c r="BM12" s="1723"/>
      <c r="BN12" s="1724"/>
      <c r="BO12" s="1722"/>
      <c r="BP12" s="1723"/>
      <c r="BQ12" s="1723"/>
      <c r="BR12" s="1724"/>
      <c r="BS12" s="1722"/>
      <c r="BT12" s="1723"/>
      <c r="BU12" s="1723"/>
      <c r="BV12" s="1723"/>
      <c r="BW12" s="1724"/>
      <c r="BX12" s="1713" t="s">
        <v>1893</v>
      </c>
      <c r="BY12" s="1714"/>
      <c r="BZ12" s="1714"/>
      <c r="CA12" s="1714"/>
      <c r="CB12" s="1714"/>
      <c r="CC12" s="1714"/>
      <c r="CD12" s="1714"/>
      <c r="CE12" s="1715"/>
      <c r="CF12" s="1713" t="s">
        <v>1894</v>
      </c>
      <c r="CG12" s="1714"/>
      <c r="CH12" s="1714"/>
      <c r="CI12" s="1714"/>
      <c r="CJ12" s="1714"/>
      <c r="CK12" s="1714"/>
      <c r="CL12" s="1714"/>
      <c r="CM12" s="1715"/>
      <c r="CN12" s="1719" t="s">
        <v>1895</v>
      </c>
      <c r="CO12" s="1720"/>
      <c r="CP12" s="1720"/>
      <c r="CQ12" s="1721"/>
      <c r="CR12" s="1719" t="s">
        <v>1896</v>
      </c>
      <c r="CS12" s="1720"/>
      <c r="CT12" s="1720"/>
      <c r="CU12" s="1720"/>
      <c r="CV12" s="1721"/>
      <c r="CW12" s="1719" t="s">
        <v>1897</v>
      </c>
      <c r="CX12" s="1720"/>
      <c r="CY12" s="1720"/>
      <c r="CZ12" s="1720"/>
      <c r="DA12" s="1721"/>
      <c r="DB12" s="1719" t="s">
        <v>1898</v>
      </c>
      <c r="DC12" s="1720"/>
      <c r="DD12" s="1720"/>
      <c r="DE12" s="1720"/>
      <c r="DF12" s="1721"/>
      <c r="DG12" s="1719" t="s">
        <v>1899</v>
      </c>
      <c r="DH12" s="1720"/>
      <c r="DI12" s="1720"/>
      <c r="DJ12" s="1720"/>
      <c r="DK12" s="1721"/>
      <c r="DL12" s="1722"/>
      <c r="DM12" s="1723"/>
      <c r="DN12" s="1723"/>
      <c r="DO12" s="1724"/>
      <c r="DP12" s="1722"/>
      <c r="DQ12" s="1723"/>
      <c r="DR12" s="1723"/>
      <c r="DS12" s="1724"/>
      <c r="DT12" s="1722"/>
      <c r="DU12" s="1723"/>
      <c r="DV12" s="1723"/>
      <c r="DW12" s="1723"/>
      <c r="DX12" s="1724"/>
      <c r="DY12" s="1722"/>
      <c r="DZ12" s="1723"/>
      <c r="EA12" s="1723"/>
      <c r="EB12" s="1723"/>
      <c r="EC12" s="1724"/>
      <c r="ED12" s="1722"/>
      <c r="EE12" s="1723"/>
      <c r="EF12" s="1723"/>
      <c r="EG12" s="1723"/>
      <c r="EH12" s="1724"/>
      <c r="EI12" s="1722"/>
      <c r="EJ12" s="1723"/>
      <c r="EK12" s="1723"/>
      <c r="EL12" s="1723"/>
      <c r="EM12" s="1724"/>
      <c r="EN12" s="1722"/>
      <c r="EO12" s="1723"/>
      <c r="EP12" s="1723"/>
      <c r="EQ12" s="1724"/>
      <c r="ER12" s="1722"/>
      <c r="ES12" s="1723"/>
      <c r="ET12" s="1723"/>
      <c r="EU12" s="1723"/>
      <c r="EV12" s="1723"/>
      <c r="EW12" s="1723"/>
      <c r="EX12" s="1723"/>
      <c r="EY12" s="1724"/>
      <c r="EZ12" s="1722"/>
      <c r="FA12" s="1723"/>
      <c r="FB12" s="1723"/>
      <c r="FC12" s="1723"/>
      <c r="FD12" s="1723"/>
      <c r="FE12" s="1724"/>
      <c r="FF12" s="1722"/>
      <c r="FG12" s="1723"/>
      <c r="FH12" s="1723"/>
      <c r="FI12" s="1723"/>
      <c r="FJ12" s="1723"/>
      <c r="FK12" s="1724"/>
    </row>
    <row r="13" spans="1:167" s="1407" customFormat="1" ht="49.5" customHeight="1">
      <c r="A13" s="1722"/>
      <c r="B13" s="1723"/>
      <c r="C13" s="1723"/>
      <c r="D13" s="1724"/>
      <c r="E13" s="1722"/>
      <c r="F13" s="1723"/>
      <c r="G13" s="1723"/>
      <c r="H13" s="1723"/>
      <c r="I13" s="1723"/>
      <c r="J13" s="1723"/>
      <c r="K13" s="1724"/>
      <c r="L13" s="1722"/>
      <c r="M13" s="1723"/>
      <c r="N13" s="1723"/>
      <c r="O13" s="1723"/>
      <c r="P13" s="1723"/>
      <c r="Q13" s="1724"/>
      <c r="R13" s="1722"/>
      <c r="S13" s="1723"/>
      <c r="T13" s="1723"/>
      <c r="U13" s="1723"/>
      <c r="V13" s="1724"/>
      <c r="W13" s="1722"/>
      <c r="X13" s="1723"/>
      <c r="Y13" s="1723"/>
      <c r="Z13" s="1723"/>
      <c r="AA13" s="1724"/>
      <c r="AB13" s="1722"/>
      <c r="AC13" s="1723"/>
      <c r="AD13" s="1723"/>
      <c r="AE13" s="1723"/>
      <c r="AF13" s="1724"/>
      <c r="AG13" s="1722"/>
      <c r="AH13" s="1723"/>
      <c r="AI13" s="1723"/>
      <c r="AJ13" s="1723"/>
      <c r="AK13" s="1724"/>
      <c r="AL13" s="1722"/>
      <c r="AM13" s="1723"/>
      <c r="AN13" s="1723"/>
      <c r="AO13" s="1723"/>
      <c r="AP13" s="1724"/>
      <c r="AQ13" s="1725" t="s">
        <v>1900</v>
      </c>
      <c r="AR13" s="1726"/>
      <c r="AS13" s="1726"/>
      <c r="AT13" s="1727"/>
      <c r="AU13" s="1725" t="s">
        <v>1901</v>
      </c>
      <c r="AV13" s="1726"/>
      <c r="AW13" s="1726"/>
      <c r="AX13" s="1727"/>
      <c r="AY13" s="1725" t="s">
        <v>1900</v>
      </c>
      <c r="AZ13" s="1726"/>
      <c r="BA13" s="1726"/>
      <c r="BB13" s="1727"/>
      <c r="BC13" s="1725" t="s">
        <v>1901</v>
      </c>
      <c r="BD13" s="1726"/>
      <c r="BE13" s="1726"/>
      <c r="BF13" s="1727"/>
      <c r="BG13" s="1722"/>
      <c r="BH13" s="1723"/>
      <c r="BI13" s="1723"/>
      <c r="BJ13" s="1724"/>
      <c r="BK13" s="1722"/>
      <c r="BL13" s="1723"/>
      <c r="BM13" s="1723"/>
      <c r="BN13" s="1724"/>
      <c r="BO13" s="1722"/>
      <c r="BP13" s="1723"/>
      <c r="BQ13" s="1723"/>
      <c r="BR13" s="1724"/>
      <c r="BS13" s="1722"/>
      <c r="BT13" s="1723"/>
      <c r="BU13" s="1723"/>
      <c r="BV13" s="1723"/>
      <c r="BW13" s="1724"/>
      <c r="BX13" s="1725" t="s">
        <v>1900</v>
      </c>
      <c r="BY13" s="1726"/>
      <c r="BZ13" s="1726"/>
      <c r="CA13" s="1727"/>
      <c r="CB13" s="1725" t="s">
        <v>1901</v>
      </c>
      <c r="CC13" s="1726"/>
      <c r="CD13" s="1726"/>
      <c r="CE13" s="1727"/>
      <c r="CF13" s="1725" t="s">
        <v>1900</v>
      </c>
      <c r="CG13" s="1726"/>
      <c r="CH13" s="1726"/>
      <c r="CI13" s="1727"/>
      <c r="CJ13" s="1725" t="s">
        <v>1901</v>
      </c>
      <c r="CK13" s="1726"/>
      <c r="CL13" s="1726"/>
      <c r="CM13" s="1727"/>
      <c r="CN13" s="1722"/>
      <c r="CO13" s="1723"/>
      <c r="CP13" s="1723"/>
      <c r="CQ13" s="1724"/>
      <c r="CR13" s="1722"/>
      <c r="CS13" s="1723"/>
      <c r="CT13" s="1723"/>
      <c r="CU13" s="1723"/>
      <c r="CV13" s="1724"/>
      <c r="CW13" s="1722"/>
      <c r="CX13" s="1723"/>
      <c r="CY13" s="1723"/>
      <c r="CZ13" s="1723"/>
      <c r="DA13" s="1724"/>
      <c r="DB13" s="1722"/>
      <c r="DC13" s="1723"/>
      <c r="DD13" s="1723"/>
      <c r="DE13" s="1723"/>
      <c r="DF13" s="1724"/>
      <c r="DG13" s="1722"/>
      <c r="DH13" s="1723"/>
      <c r="DI13" s="1723"/>
      <c r="DJ13" s="1723"/>
      <c r="DK13" s="1724"/>
      <c r="DL13" s="1722"/>
      <c r="DM13" s="1723"/>
      <c r="DN13" s="1723"/>
      <c r="DO13" s="1724"/>
      <c r="DP13" s="1722"/>
      <c r="DQ13" s="1723"/>
      <c r="DR13" s="1723"/>
      <c r="DS13" s="1724"/>
      <c r="DT13" s="1722"/>
      <c r="DU13" s="1723"/>
      <c r="DV13" s="1723"/>
      <c r="DW13" s="1723"/>
      <c r="DX13" s="1724"/>
      <c r="DY13" s="1722"/>
      <c r="DZ13" s="1723"/>
      <c r="EA13" s="1723"/>
      <c r="EB13" s="1723"/>
      <c r="EC13" s="1724"/>
      <c r="ED13" s="1722"/>
      <c r="EE13" s="1723"/>
      <c r="EF13" s="1723"/>
      <c r="EG13" s="1723"/>
      <c r="EH13" s="1724"/>
      <c r="EI13" s="1722"/>
      <c r="EJ13" s="1723"/>
      <c r="EK13" s="1723"/>
      <c r="EL13" s="1723"/>
      <c r="EM13" s="1724"/>
      <c r="EN13" s="1722"/>
      <c r="EO13" s="1723"/>
      <c r="EP13" s="1723"/>
      <c r="EQ13" s="1724"/>
      <c r="ER13" s="1722"/>
      <c r="ES13" s="1723"/>
      <c r="ET13" s="1723"/>
      <c r="EU13" s="1723"/>
      <c r="EV13" s="1723"/>
      <c r="EW13" s="1723"/>
      <c r="EX13" s="1723"/>
      <c r="EY13" s="1724"/>
      <c r="EZ13" s="1722"/>
      <c r="FA13" s="1723"/>
      <c r="FB13" s="1723"/>
      <c r="FC13" s="1723"/>
      <c r="FD13" s="1723"/>
      <c r="FE13" s="1724"/>
      <c r="FF13" s="1722"/>
      <c r="FG13" s="1723"/>
      <c r="FH13" s="1723"/>
      <c r="FI13" s="1723"/>
      <c r="FJ13" s="1723"/>
      <c r="FK13" s="1724"/>
    </row>
    <row r="14" spans="1:167" s="1407" customFormat="1" ht="3" customHeight="1">
      <c r="A14" s="1707"/>
      <c r="B14" s="1708"/>
      <c r="C14" s="1708"/>
      <c r="D14" s="1709"/>
      <c r="E14" s="1707"/>
      <c r="F14" s="1708"/>
      <c r="G14" s="1708"/>
      <c r="H14" s="1708"/>
      <c r="I14" s="1708"/>
      <c r="J14" s="1708"/>
      <c r="K14" s="1709"/>
      <c r="L14" s="1707"/>
      <c r="M14" s="1708"/>
      <c r="N14" s="1708"/>
      <c r="O14" s="1708"/>
      <c r="P14" s="1708"/>
      <c r="Q14" s="1709"/>
      <c r="R14" s="1707"/>
      <c r="S14" s="1708"/>
      <c r="T14" s="1708"/>
      <c r="U14" s="1708"/>
      <c r="V14" s="1709"/>
      <c r="W14" s="1707"/>
      <c r="X14" s="1708"/>
      <c r="Y14" s="1708"/>
      <c r="Z14" s="1708"/>
      <c r="AA14" s="1709"/>
      <c r="AB14" s="1707"/>
      <c r="AC14" s="1708"/>
      <c r="AD14" s="1708"/>
      <c r="AE14" s="1708"/>
      <c r="AF14" s="1709"/>
      <c r="AG14" s="1707"/>
      <c r="AH14" s="1708"/>
      <c r="AI14" s="1708"/>
      <c r="AJ14" s="1708"/>
      <c r="AK14" s="1709"/>
      <c r="AL14" s="1707"/>
      <c r="AM14" s="1708"/>
      <c r="AN14" s="1708"/>
      <c r="AO14" s="1708"/>
      <c r="AP14" s="1709"/>
      <c r="AQ14" s="1728"/>
      <c r="AR14" s="1729"/>
      <c r="AS14" s="1729"/>
      <c r="AT14" s="1730"/>
      <c r="AU14" s="1728"/>
      <c r="AV14" s="1729"/>
      <c r="AW14" s="1729"/>
      <c r="AX14" s="1730"/>
      <c r="AY14" s="1728"/>
      <c r="AZ14" s="1729"/>
      <c r="BA14" s="1729"/>
      <c r="BB14" s="1730"/>
      <c r="BC14" s="1728"/>
      <c r="BD14" s="1729"/>
      <c r="BE14" s="1729"/>
      <c r="BF14" s="1730"/>
      <c r="BG14" s="1716"/>
      <c r="BH14" s="1717"/>
      <c r="BI14" s="1717"/>
      <c r="BJ14" s="1718"/>
      <c r="BK14" s="1716"/>
      <c r="BL14" s="1717"/>
      <c r="BM14" s="1717"/>
      <c r="BN14" s="1718"/>
      <c r="BO14" s="1716"/>
      <c r="BP14" s="1717"/>
      <c r="BQ14" s="1717"/>
      <c r="BR14" s="1718"/>
      <c r="BS14" s="1716"/>
      <c r="BT14" s="1717"/>
      <c r="BU14" s="1717"/>
      <c r="BV14" s="1717"/>
      <c r="BW14" s="1718"/>
      <c r="BX14" s="1728"/>
      <c r="BY14" s="1729"/>
      <c r="BZ14" s="1729"/>
      <c r="CA14" s="1730"/>
      <c r="CB14" s="1728"/>
      <c r="CC14" s="1729"/>
      <c r="CD14" s="1729"/>
      <c r="CE14" s="1730"/>
      <c r="CF14" s="1728"/>
      <c r="CG14" s="1729"/>
      <c r="CH14" s="1729"/>
      <c r="CI14" s="1730"/>
      <c r="CJ14" s="1728"/>
      <c r="CK14" s="1729"/>
      <c r="CL14" s="1729"/>
      <c r="CM14" s="1730"/>
      <c r="CN14" s="1716"/>
      <c r="CO14" s="1717"/>
      <c r="CP14" s="1717"/>
      <c r="CQ14" s="1718"/>
      <c r="CR14" s="1716"/>
      <c r="CS14" s="1717"/>
      <c r="CT14" s="1717"/>
      <c r="CU14" s="1717"/>
      <c r="CV14" s="1718"/>
      <c r="CW14" s="1716"/>
      <c r="CX14" s="1717"/>
      <c r="CY14" s="1717"/>
      <c r="CZ14" s="1717"/>
      <c r="DA14" s="1718"/>
      <c r="DB14" s="1716"/>
      <c r="DC14" s="1717"/>
      <c r="DD14" s="1717"/>
      <c r="DE14" s="1717"/>
      <c r="DF14" s="1718"/>
      <c r="DG14" s="1716"/>
      <c r="DH14" s="1717"/>
      <c r="DI14" s="1717"/>
      <c r="DJ14" s="1717"/>
      <c r="DK14" s="1718"/>
      <c r="DL14" s="1716"/>
      <c r="DM14" s="1717"/>
      <c r="DN14" s="1717"/>
      <c r="DO14" s="1718"/>
      <c r="DP14" s="1716"/>
      <c r="DQ14" s="1717"/>
      <c r="DR14" s="1717"/>
      <c r="DS14" s="1718"/>
      <c r="DT14" s="1716"/>
      <c r="DU14" s="1717"/>
      <c r="DV14" s="1717"/>
      <c r="DW14" s="1717"/>
      <c r="DX14" s="1718"/>
      <c r="DY14" s="1707"/>
      <c r="DZ14" s="1708"/>
      <c r="EA14" s="1708"/>
      <c r="EB14" s="1708"/>
      <c r="EC14" s="1709"/>
      <c r="ED14" s="1707"/>
      <c r="EE14" s="1708"/>
      <c r="EF14" s="1708"/>
      <c r="EG14" s="1708"/>
      <c r="EH14" s="1709"/>
      <c r="EI14" s="1707"/>
      <c r="EJ14" s="1708"/>
      <c r="EK14" s="1708"/>
      <c r="EL14" s="1708"/>
      <c r="EM14" s="1709"/>
      <c r="EN14" s="1707"/>
      <c r="EO14" s="1708"/>
      <c r="EP14" s="1708"/>
      <c r="EQ14" s="1709"/>
      <c r="ER14" s="1707"/>
      <c r="ES14" s="1708"/>
      <c r="ET14" s="1708"/>
      <c r="EU14" s="1708"/>
      <c r="EV14" s="1708"/>
      <c r="EW14" s="1708"/>
      <c r="EX14" s="1708"/>
      <c r="EY14" s="1709"/>
      <c r="EZ14" s="1707"/>
      <c r="FA14" s="1708"/>
      <c r="FB14" s="1708"/>
      <c r="FC14" s="1708"/>
      <c r="FD14" s="1708"/>
      <c r="FE14" s="1709"/>
      <c r="FF14" s="1707"/>
      <c r="FG14" s="1708"/>
      <c r="FH14" s="1708"/>
      <c r="FI14" s="1708"/>
      <c r="FJ14" s="1708"/>
      <c r="FK14" s="1709"/>
    </row>
    <row r="15" spans="1:167" s="1407" customFormat="1" ht="11.25" customHeight="1">
      <c r="A15" s="1706">
        <v>1</v>
      </c>
      <c r="B15" s="1706"/>
      <c r="C15" s="1706"/>
      <c r="D15" s="1706"/>
      <c r="E15" s="1706">
        <v>2</v>
      </c>
      <c r="F15" s="1706"/>
      <c r="G15" s="1706"/>
      <c r="H15" s="1706"/>
      <c r="I15" s="1706"/>
      <c r="J15" s="1706"/>
      <c r="K15" s="1706"/>
      <c r="L15" s="1706">
        <v>3</v>
      </c>
      <c r="M15" s="1706"/>
      <c r="N15" s="1706"/>
      <c r="O15" s="1706"/>
      <c r="P15" s="1706"/>
      <c r="Q15" s="1706"/>
      <c r="R15" s="1706">
        <v>4</v>
      </c>
      <c r="S15" s="1706"/>
      <c r="T15" s="1706"/>
      <c r="U15" s="1706"/>
      <c r="V15" s="1706"/>
      <c r="W15" s="1706">
        <v>5</v>
      </c>
      <c r="X15" s="1706"/>
      <c r="Y15" s="1706"/>
      <c r="Z15" s="1706"/>
      <c r="AA15" s="1706"/>
      <c r="AB15" s="1706">
        <v>6</v>
      </c>
      <c r="AC15" s="1706"/>
      <c r="AD15" s="1706"/>
      <c r="AE15" s="1706"/>
      <c r="AF15" s="1706"/>
      <c r="AG15" s="1706">
        <v>7</v>
      </c>
      <c r="AH15" s="1706"/>
      <c r="AI15" s="1706"/>
      <c r="AJ15" s="1706"/>
      <c r="AK15" s="1706"/>
      <c r="AL15" s="1706">
        <v>8</v>
      </c>
      <c r="AM15" s="1706"/>
      <c r="AN15" s="1706"/>
      <c r="AO15" s="1706"/>
      <c r="AP15" s="1706"/>
      <c r="AQ15" s="1706">
        <v>9</v>
      </c>
      <c r="AR15" s="1706"/>
      <c r="AS15" s="1706"/>
      <c r="AT15" s="1706"/>
      <c r="AU15" s="1706">
        <v>10</v>
      </c>
      <c r="AV15" s="1706"/>
      <c r="AW15" s="1706"/>
      <c r="AX15" s="1706"/>
      <c r="AY15" s="1706">
        <v>11</v>
      </c>
      <c r="AZ15" s="1706"/>
      <c r="BA15" s="1706"/>
      <c r="BB15" s="1706"/>
      <c r="BC15" s="1706">
        <v>12</v>
      </c>
      <c r="BD15" s="1706"/>
      <c r="BE15" s="1706"/>
      <c r="BF15" s="1706"/>
      <c r="BG15" s="1706">
        <v>13</v>
      </c>
      <c r="BH15" s="1706"/>
      <c r="BI15" s="1706"/>
      <c r="BJ15" s="1706"/>
      <c r="BK15" s="1706">
        <v>14</v>
      </c>
      <c r="BL15" s="1706"/>
      <c r="BM15" s="1706"/>
      <c r="BN15" s="1706"/>
      <c r="BO15" s="1706">
        <v>15</v>
      </c>
      <c r="BP15" s="1706"/>
      <c r="BQ15" s="1706"/>
      <c r="BR15" s="1706"/>
      <c r="BS15" s="1706">
        <v>16</v>
      </c>
      <c r="BT15" s="1706"/>
      <c r="BU15" s="1706"/>
      <c r="BV15" s="1706"/>
      <c r="BW15" s="1706"/>
      <c r="BX15" s="1706">
        <v>17</v>
      </c>
      <c r="BY15" s="1706"/>
      <c r="BZ15" s="1706"/>
      <c r="CA15" s="1706"/>
      <c r="CB15" s="1706">
        <v>18</v>
      </c>
      <c r="CC15" s="1706"/>
      <c r="CD15" s="1706"/>
      <c r="CE15" s="1706"/>
      <c r="CF15" s="1706">
        <v>19</v>
      </c>
      <c r="CG15" s="1706"/>
      <c r="CH15" s="1706"/>
      <c r="CI15" s="1706"/>
      <c r="CJ15" s="1706">
        <v>20</v>
      </c>
      <c r="CK15" s="1706"/>
      <c r="CL15" s="1706"/>
      <c r="CM15" s="1706"/>
      <c r="CN15" s="1706">
        <v>21</v>
      </c>
      <c r="CO15" s="1706"/>
      <c r="CP15" s="1706"/>
      <c r="CQ15" s="1706"/>
      <c r="CR15" s="1706">
        <v>22</v>
      </c>
      <c r="CS15" s="1706"/>
      <c r="CT15" s="1706"/>
      <c r="CU15" s="1706"/>
      <c r="CV15" s="1706"/>
      <c r="CW15" s="1706">
        <v>23</v>
      </c>
      <c r="CX15" s="1706"/>
      <c r="CY15" s="1706"/>
      <c r="CZ15" s="1706"/>
      <c r="DA15" s="1706"/>
      <c r="DB15" s="1706">
        <v>24</v>
      </c>
      <c r="DC15" s="1706"/>
      <c r="DD15" s="1706"/>
      <c r="DE15" s="1706"/>
      <c r="DF15" s="1706"/>
      <c r="DG15" s="1706">
        <v>25</v>
      </c>
      <c r="DH15" s="1706"/>
      <c r="DI15" s="1706"/>
      <c r="DJ15" s="1706"/>
      <c r="DK15" s="1706"/>
      <c r="DL15" s="1706">
        <v>26</v>
      </c>
      <c r="DM15" s="1706"/>
      <c r="DN15" s="1706"/>
      <c r="DO15" s="1706"/>
      <c r="DP15" s="1706">
        <v>27</v>
      </c>
      <c r="DQ15" s="1706"/>
      <c r="DR15" s="1706"/>
      <c r="DS15" s="1706"/>
      <c r="DT15" s="1706">
        <v>28</v>
      </c>
      <c r="DU15" s="1706"/>
      <c r="DV15" s="1706"/>
      <c r="DW15" s="1706"/>
      <c r="DX15" s="1706"/>
      <c r="DY15" s="1706">
        <v>29</v>
      </c>
      <c r="DZ15" s="1706"/>
      <c r="EA15" s="1706"/>
      <c r="EB15" s="1706"/>
      <c r="EC15" s="1706"/>
      <c r="ED15" s="1706">
        <v>30</v>
      </c>
      <c r="EE15" s="1706"/>
      <c r="EF15" s="1706"/>
      <c r="EG15" s="1706"/>
      <c r="EH15" s="1706"/>
      <c r="EI15" s="1706">
        <v>31</v>
      </c>
      <c r="EJ15" s="1706"/>
      <c r="EK15" s="1706"/>
      <c r="EL15" s="1706"/>
      <c r="EM15" s="1706"/>
      <c r="EN15" s="1706">
        <v>32</v>
      </c>
      <c r="EO15" s="1706"/>
      <c r="EP15" s="1706"/>
      <c r="EQ15" s="1706"/>
      <c r="ER15" s="1706">
        <v>33</v>
      </c>
      <c r="ES15" s="1706"/>
      <c r="ET15" s="1706"/>
      <c r="EU15" s="1706"/>
      <c r="EV15" s="1706"/>
      <c r="EW15" s="1706"/>
      <c r="EX15" s="1706"/>
      <c r="EY15" s="1706"/>
      <c r="EZ15" s="1706">
        <v>34</v>
      </c>
      <c r="FA15" s="1706"/>
      <c r="FB15" s="1706"/>
      <c r="FC15" s="1706"/>
      <c r="FD15" s="1706"/>
      <c r="FE15" s="1706"/>
      <c r="FF15" s="1706">
        <v>35</v>
      </c>
      <c r="FG15" s="1706"/>
      <c r="FH15" s="1706"/>
      <c r="FI15" s="1706"/>
      <c r="FJ15" s="1706"/>
      <c r="FK15" s="1706"/>
    </row>
    <row r="16" spans="1:167" s="1407" customFormat="1" ht="29.25" customHeight="1">
      <c r="A16" s="1408"/>
      <c r="B16" s="1409"/>
      <c r="C16" s="1409"/>
      <c r="D16" s="1410"/>
      <c r="E16" s="1671" t="s">
        <v>1955</v>
      </c>
      <c r="F16" s="1672"/>
      <c r="G16" s="1672"/>
      <c r="H16" s="1672"/>
      <c r="I16" s="1672"/>
      <c r="J16" s="1672"/>
      <c r="K16" s="1672"/>
      <c r="L16" s="1672"/>
      <c r="M16" s="1672"/>
      <c r="N16" s="1672"/>
      <c r="O16" s="1672"/>
      <c r="P16" s="1672"/>
      <c r="Q16" s="1672"/>
      <c r="R16" s="1672"/>
      <c r="S16" s="1672"/>
      <c r="T16" s="1672"/>
      <c r="U16" s="1672"/>
      <c r="V16" s="1672"/>
      <c r="W16" s="1672"/>
      <c r="X16" s="1672"/>
      <c r="Y16" s="1672"/>
      <c r="Z16" s="1672"/>
      <c r="AA16" s="1672"/>
      <c r="AB16" s="1672"/>
      <c r="AC16" s="1672"/>
      <c r="AD16" s="1672"/>
      <c r="AE16" s="1672"/>
      <c r="AF16" s="1672"/>
      <c r="AG16" s="1672"/>
      <c r="AH16" s="1672"/>
      <c r="AI16" s="1672"/>
      <c r="AJ16" s="1672"/>
      <c r="AK16" s="1672"/>
      <c r="AL16" s="1672"/>
      <c r="AM16" s="1672"/>
      <c r="AN16" s="1672"/>
      <c r="AO16" s="1672"/>
      <c r="AP16" s="1672"/>
      <c r="AQ16" s="1672"/>
      <c r="AR16" s="1672"/>
      <c r="AS16" s="1672"/>
      <c r="AT16" s="1672"/>
      <c r="AU16" s="1672"/>
      <c r="AV16" s="1672"/>
      <c r="AW16" s="1672"/>
      <c r="AX16" s="1672"/>
      <c r="AY16" s="1672"/>
      <c r="AZ16" s="1672"/>
      <c r="BA16" s="1672"/>
      <c r="BB16" s="1672"/>
      <c r="BC16" s="1672"/>
      <c r="BD16" s="1672"/>
      <c r="BE16" s="1672"/>
      <c r="BF16" s="1672"/>
      <c r="BG16" s="1672"/>
      <c r="BH16" s="1672"/>
      <c r="BI16" s="1672"/>
      <c r="BJ16" s="1672"/>
      <c r="BK16" s="1672"/>
      <c r="BL16" s="1672"/>
      <c r="BM16" s="1672"/>
      <c r="BN16" s="1672"/>
      <c r="BO16" s="1672"/>
      <c r="BP16" s="1672"/>
      <c r="BQ16" s="1672"/>
      <c r="BR16" s="1672"/>
      <c r="BS16" s="1672"/>
      <c r="BT16" s="1672"/>
      <c r="BU16" s="1672"/>
      <c r="BV16" s="1672"/>
      <c r="BW16" s="1672"/>
      <c r="BX16" s="1672"/>
      <c r="BY16" s="1672"/>
      <c r="BZ16" s="1672"/>
      <c r="CA16" s="1672"/>
      <c r="CB16" s="1672"/>
      <c r="CC16" s="1672"/>
      <c r="CD16" s="1672"/>
      <c r="CE16" s="1672"/>
      <c r="CF16" s="1672"/>
      <c r="CG16" s="1672"/>
      <c r="CH16" s="1672"/>
      <c r="CI16" s="1672"/>
      <c r="CJ16" s="1672"/>
      <c r="CK16" s="1672"/>
      <c r="CL16" s="1672"/>
      <c r="CM16" s="1672"/>
      <c r="CN16" s="1672"/>
      <c r="CO16" s="1672"/>
      <c r="CP16" s="1672"/>
      <c r="CQ16" s="1672"/>
      <c r="CR16" s="1672"/>
      <c r="CS16" s="1672"/>
      <c r="CT16" s="1672"/>
      <c r="CU16" s="1672"/>
      <c r="CV16" s="1672"/>
      <c r="CW16" s="1672"/>
      <c r="CX16" s="1672"/>
      <c r="CY16" s="1672"/>
      <c r="CZ16" s="1672"/>
      <c r="DA16" s="1672"/>
      <c r="DB16" s="1672"/>
      <c r="DC16" s="1672"/>
      <c r="DD16" s="1672"/>
      <c r="DE16" s="1672"/>
      <c r="DF16" s="1672"/>
      <c r="DG16" s="1672"/>
      <c r="DH16" s="1672"/>
      <c r="DI16" s="1672"/>
      <c r="DJ16" s="1672"/>
      <c r="DK16" s="1672"/>
      <c r="DL16" s="1672"/>
      <c r="DM16" s="1672"/>
      <c r="DN16" s="1672"/>
      <c r="DO16" s="1672"/>
      <c r="DP16" s="1672"/>
      <c r="DQ16" s="1672"/>
      <c r="DR16" s="1672"/>
      <c r="DS16" s="1672"/>
      <c r="DT16" s="1672"/>
      <c r="DU16" s="1672"/>
      <c r="DV16" s="1672"/>
      <c r="DW16" s="1672"/>
      <c r="DX16" s="1672"/>
      <c r="DY16" s="1672"/>
      <c r="DZ16" s="1672"/>
      <c r="EA16" s="1672"/>
      <c r="EB16" s="1672"/>
      <c r="EC16" s="1672"/>
      <c r="ED16" s="1672"/>
      <c r="EE16" s="1672"/>
      <c r="EF16" s="1672"/>
      <c r="EG16" s="1672"/>
      <c r="EH16" s="1672"/>
      <c r="EI16" s="1672"/>
      <c r="EJ16" s="1672"/>
      <c r="EK16" s="1672"/>
      <c r="EL16" s="1672"/>
      <c r="EM16" s="1672"/>
      <c r="EN16" s="1672"/>
      <c r="EO16" s="1672"/>
      <c r="EP16" s="1672"/>
      <c r="EQ16" s="1672"/>
      <c r="ER16" s="1672"/>
      <c r="ES16" s="1672"/>
      <c r="ET16" s="1672"/>
      <c r="EU16" s="1672"/>
      <c r="EV16" s="1672"/>
      <c r="EW16" s="1672"/>
      <c r="EX16" s="1672"/>
      <c r="EY16" s="1672"/>
      <c r="EZ16" s="1672"/>
      <c r="FA16" s="1672"/>
      <c r="FB16" s="1672"/>
      <c r="FC16" s="1672"/>
      <c r="FD16" s="1672"/>
      <c r="FE16" s="1672"/>
      <c r="FF16" s="1672"/>
      <c r="FG16" s="1672"/>
      <c r="FH16" s="1672"/>
      <c r="FI16" s="1672"/>
      <c r="FJ16" s="1672"/>
      <c r="FK16" s="1673"/>
    </row>
    <row r="17" spans="1:175" s="1407" customFormat="1" ht="11.25" customHeight="1">
      <c r="A17" s="1408">
        <v>1</v>
      </c>
      <c r="B17" s="1409"/>
      <c r="C17" s="1409"/>
      <c r="D17" s="1410"/>
      <c r="E17" s="1408" t="s">
        <v>1459</v>
      </c>
      <c r="F17" s="1409"/>
      <c r="G17" s="1409"/>
      <c r="H17" s="1409"/>
      <c r="I17" s="1409"/>
      <c r="J17" s="1409"/>
      <c r="K17" s="1410"/>
      <c r="L17" s="1411" t="s">
        <v>1902</v>
      </c>
      <c r="M17" s="1411"/>
      <c r="N17" s="1411"/>
      <c r="O17" s="1411"/>
      <c r="P17" s="1411"/>
      <c r="Q17" s="1411"/>
      <c r="R17" s="1668" t="s">
        <v>1903</v>
      </c>
      <c r="S17" s="1669"/>
      <c r="T17" s="1669"/>
      <c r="U17" s="1669"/>
      <c r="V17" s="1670"/>
      <c r="W17" s="1659" t="s">
        <v>1904</v>
      </c>
      <c r="X17" s="1659"/>
      <c r="Y17" s="1659"/>
      <c r="Z17" s="1659"/>
      <c r="AA17" s="1659"/>
      <c r="AB17" s="1668">
        <v>0</v>
      </c>
      <c r="AC17" s="1669"/>
      <c r="AD17" s="1669"/>
      <c r="AE17" s="1669"/>
      <c r="AF17" s="1670"/>
      <c r="AG17" s="1659" t="s">
        <v>3568</v>
      </c>
      <c r="AH17" s="1659"/>
      <c r="AI17" s="1659"/>
      <c r="AJ17" s="1659"/>
      <c r="AK17" s="1659"/>
      <c r="AL17" s="1659" t="s">
        <v>3568</v>
      </c>
      <c r="AM17" s="1659"/>
      <c r="AN17" s="1659"/>
      <c r="AO17" s="1659"/>
      <c r="AP17" s="1659"/>
      <c r="AQ17" s="1659" t="s">
        <v>3568</v>
      </c>
      <c r="AR17" s="1659"/>
      <c r="AS17" s="1659"/>
      <c r="AT17" s="1659"/>
      <c r="AU17" s="1659" t="s">
        <v>3568</v>
      </c>
      <c r="AV17" s="1659"/>
      <c r="AW17" s="1659"/>
      <c r="AX17" s="1659"/>
      <c r="AY17" s="1412">
        <v>1</v>
      </c>
      <c r="AZ17" s="1411"/>
      <c r="BA17" s="1411"/>
      <c r="BB17" s="1411"/>
      <c r="BC17" s="1659" t="s">
        <v>3568</v>
      </c>
      <c r="BD17" s="1659"/>
      <c r="BE17" s="1659"/>
      <c r="BF17" s="1659"/>
      <c r="BG17" s="1659" t="s">
        <v>3568</v>
      </c>
      <c r="BH17" s="1659"/>
      <c r="BI17" s="1659"/>
      <c r="BJ17" s="1659"/>
      <c r="BK17" s="1659" t="s">
        <v>3568</v>
      </c>
      <c r="BL17" s="1659"/>
      <c r="BM17" s="1659"/>
      <c r="BN17" s="1659"/>
      <c r="BO17" s="1659" t="s">
        <v>3568</v>
      </c>
      <c r="BP17" s="1659"/>
      <c r="BQ17" s="1659"/>
      <c r="BR17" s="1659"/>
      <c r="BS17" s="1659">
        <f t="shared" ref="BS17:BS27" si="0">SUM(AQ17:BR17)</f>
        <v>1</v>
      </c>
      <c r="BT17" s="1659"/>
      <c r="BU17" s="1659"/>
      <c r="BV17" s="1659"/>
      <c r="BW17" s="1659"/>
      <c r="BX17" s="1659" t="s">
        <v>3568</v>
      </c>
      <c r="BY17" s="1659"/>
      <c r="BZ17" s="1659"/>
      <c r="CA17" s="1659"/>
      <c r="CB17" s="1659" t="s">
        <v>3568</v>
      </c>
      <c r="CC17" s="1659"/>
      <c r="CD17" s="1659"/>
      <c r="CE17" s="1659"/>
      <c r="CF17" s="1659">
        <v>1</v>
      </c>
      <c r="CG17" s="1659"/>
      <c r="CH17" s="1659"/>
      <c r="CI17" s="1659"/>
      <c r="CJ17" s="1659" t="s">
        <v>3568</v>
      </c>
      <c r="CK17" s="1659"/>
      <c r="CL17" s="1659"/>
      <c r="CM17" s="1659"/>
      <c r="CN17" s="1659" t="s">
        <v>3568</v>
      </c>
      <c r="CO17" s="1659"/>
      <c r="CP17" s="1659"/>
      <c r="CQ17" s="1659"/>
      <c r="CR17" s="1659" t="s">
        <v>3568</v>
      </c>
      <c r="CS17" s="1659"/>
      <c r="CT17" s="1659"/>
      <c r="CU17" s="1659"/>
      <c r="CV17" s="1659"/>
      <c r="CW17" s="1659" t="s">
        <v>3568</v>
      </c>
      <c r="CX17" s="1659"/>
      <c r="CY17" s="1659"/>
      <c r="CZ17" s="1659"/>
      <c r="DA17" s="1659"/>
      <c r="DB17" s="1659">
        <v>1</v>
      </c>
      <c r="DC17" s="1659"/>
      <c r="DD17" s="1659"/>
      <c r="DE17" s="1659"/>
      <c r="DF17" s="1659"/>
      <c r="DG17" s="1659">
        <f t="shared" ref="DG17:DG27" si="1">SUM(BX17:CQ17)</f>
        <v>1</v>
      </c>
      <c r="DH17" s="1659"/>
      <c r="DI17" s="1659"/>
      <c r="DJ17" s="1659"/>
      <c r="DK17" s="1659"/>
      <c r="DL17" s="1659" t="s">
        <v>3568</v>
      </c>
      <c r="DM17" s="1659"/>
      <c r="DN17" s="1659"/>
      <c r="DO17" s="1659"/>
      <c r="DP17" s="1659" t="s">
        <v>3568</v>
      </c>
      <c r="DQ17" s="1659"/>
      <c r="DR17" s="1659"/>
      <c r="DS17" s="1659"/>
      <c r="DT17" s="1659">
        <f t="shared" ref="DT17:DT27" si="2">SUM(DG17:DS17)</f>
        <v>1</v>
      </c>
      <c r="DU17" s="1659"/>
      <c r="DV17" s="1659"/>
      <c r="DW17" s="1659"/>
      <c r="DX17" s="1659"/>
      <c r="DY17" s="1660" t="s">
        <v>1905</v>
      </c>
      <c r="DZ17" s="1661"/>
      <c r="EA17" s="1661"/>
      <c r="EB17" s="1409"/>
      <c r="EC17" s="1410"/>
      <c r="ED17" s="1660" t="s">
        <v>1906</v>
      </c>
      <c r="EE17" s="1661"/>
      <c r="EF17" s="1661"/>
      <c r="EG17" s="1661"/>
      <c r="EH17" s="1662"/>
      <c r="EI17" s="1660" t="s">
        <v>1906</v>
      </c>
      <c r="EJ17" s="1661"/>
      <c r="EK17" s="1661"/>
      <c r="EL17" s="1661"/>
      <c r="EM17" s="1662"/>
      <c r="EN17" s="1659">
        <v>10.42</v>
      </c>
      <c r="EO17" s="1659"/>
      <c r="EP17" s="1659"/>
      <c r="EQ17" s="1659"/>
      <c r="ER17" s="1659" t="s">
        <v>3568</v>
      </c>
      <c r="ES17" s="1659"/>
      <c r="ET17" s="1659"/>
      <c r="EU17" s="1659"/>
      <c r="EV17" s="1659"/>
      <c r="EW17" s="1659"/>
      <c r="EX17" s="1659"/>
      <c r="EY17" s="1659"/>
      <c r="EZ17" s="1660" t="s">
        <v>1907</v>
      </c>
      <c r="FA17" s="1661"/>
      <c r="FB17" s="1661"/>
      <c r="FC17" s="1661"/>
      <c r="FD17" s="1661"/>
      <c r="FE17" s="1662"/>
      <c r="FF17" s="1660" t="s">
        <v>1908</v>
      </c>
      <c r="FG17" s="1661"/>
      <c r="FH17" s="1661"/>
      <c r="FI17" s="1661"/>
      <c r="FJ17" s="1661"/>
      <c r="FK17" s="1662"/>
      <c r="FM17" s="1659" t="s">
        <v>1909</v>
      </c>
      <c r="FN17" s="1659"/>
      <c r="FO17" s="1659"/>
      <c r="FP17" s="1659"/>
      <c r="FS17" s="1407">
        <f>DT17*EN17</f>
        <v>10.42</v>
      </c>
    </row>
    <row r="18" spans="1:175" s="1413" customFormat="1" ht="12" hidden="1" customHeight="1">
      <c r="A18" s="1680" t="s">
        <v>2051</v>
      </c>
      <c r="B18" s="1691"/>
      <c r="C18" s="1691"/>
      <c r="D18" s="1681"/>
      <c r="E18" s="1696" t="s">
        <v>1459</v>
      </c>
      <c r="F18" s="1697"/>
      <c r="G18" s="1697"/>
      <c r="H18" s="1697"/>
      <c r="I18" s="1697"/>
      <c r="J18" s="1697"/>
      <c r="K18" s="1698"/>
      <c r="L18" s="1659" t="s">
        <v>1910</v>
      </c>
      <c r="M18" s="1659"/>
      <c r="N18" s="1659"/>
      <c r="O18" s="1659"/>
      <c r="P18" s="1659"/>
      <c r="Q18" s="1659"/>
      <c r="R18" s="1668" t="s">
        <v>1903</v>
      </c>
      <c r="S18" s="1669"/>
      <c r="T18" s="1669"/>
      <c r="U18" s="1669"/>
      <c r="V18" s="1670"/>
      <c r="W18" s="1659" t="s">
        <v>1904</v>
      </c>
      <c r="X18" s="1659"/>
      <c r="Y18" s="1659"/>
      <c r="Z18" s="1659"/>
      <c r="AA18" s="1659"/>
      <c r="AB18" s="1668">
        <v>0</v>
      </c>
      <c r="AC18" s="1669"/>
      <c r="AD18" s="1669"/>
      <c r="AE18" s="1669"/>
      <c r="AF18" s="1670"/>
      <c r="AG18" s="1659" t="s">
        <v>3568</v>
      </c>
      <c r="AH18" s="1659"/>
      <c r="AI18" s="1659"/>
      <c r="AJ18" s="1659"/>
      <c r="AK18" s="1659"/>
      <c r="AL18" s="1659" t="s">
        <v>3568</v>
      </c>
      <c r="AM18" s="1659"/>
      <c r="AN18" s="1659"/>
      <c r="AO18" s="1659"/>
      <c r="AP18" s="1659"/>
      <c r="AQ18" s="1659" t="s">
        <v>3568</v>
      </c>
      <c r="AR18" s="1659"/>
      <c r="AS18" s="1659"/>
      <c r="AT18" s="1659"/>
      <c r="AU18" s="1659" t="s">
        <v>3568</v>
      </c>
      <c r="AV18" s="1659"/>
      <c r="AW18" s="1659"/>
      <c r="AX18" s="1659"/>
      <c r="AY18" s="1659">
        <v>3</v>
      </c>
      <c r="AZ18" s="1659"/>
      <c r="BA18" s="1659"/>
      <c r="BB18" s="1659"/>
      <c r="BC18" s="1659" t="s">
        <v>3568</v>
      </c>
      <c r="BD18" s="1659"/>
      <c r="BE18" s="1659"/>
      <c r="BF18" s="1659"/>
      <c r="BG18" s="1659">
        <v>2</v>
      </c>
      <c r="BH18" s="1659"/>
      <c r="BI18" s="1659"/>
      <c r="BJ18" s="1659"/>
      <c r="BK18" s="1659" t="s">
        <v>3568</v>
      </c>
      <c r="BL18" s="1659"/>
      <c r="BM18" s="1659"/>
      <c r="BN18" s="1659"/>
      <c r="BO18" s="1659" t="s">
        <v>3568</v>
      </c>
      <c r="BP18" s="1659"/>
      <c r="BQ18" s="1659"/>
      <c r="BR18" s="1659"/>
      <c r="BS18" s="1659">
        <f t="shared" si="0"/>
        <v>5</v>
      </c>
      <c r="BT18" s="1659"/>
      <c r="BU18" s="1659"/>
      <c r="BV18" s="1659"/>
      <c r="BW18" s="1659"/>
      <c r="BX18" s="1659" t="s">
        <v>3568</v>
      </c>
      <c r="BY18" s="1659"/>
      <c r="BZ18" s="1659"/>
      <c r="CA18" s="1659"/>
      <c r="CB18" s="1659" t="s">
        <v>3568</v>
      </c>
      <c r="CC18" s="1659"/>
      <c r="CD18" s="1659"/>
      <c r="CE18" s="1659"/>
      <c r="CF18" s="1659">
        <v>2</v>
      </c>
      <c r="CG18" s="1659"/>
      <c r="CH18" s="1659"/>
      <c r="CI18" s="1659"/>
      <c r="CJ18" s="1659" t="s">
        <v>3568</v>
      </c>
      <c r="CK18" s="1659"/>
      <c r="CL18" s="1659"/>
      <c r="CM18" s="1659"/>
      <c r="CN18" s="1659">
        <v>1</v>
      </c>
      <c r="CO18" s="1659"/>
      <c r="CP18" s="1659"/>
      <c r="CQ18" s="1659"/>
      <c r="CR18" s="1659">
        <v>1</v>
      </c>
      <c r="CS18" s="1659"/>
      <c r="CT18" s="1659"/>
      <c r="CU18" s="1659"/>
      <c r="CV18" s="1659"/>
      <c r="CW18" s="1659" t="s">
        <v>3568</v>
      </c>
      <c r="CX18" s="1659"/>
      <c r="CY18" s="1659"/>
      <c r="CZ18" s="1659"/>
      <c r="DA18" s="1659"/>
      <c r="DB18" s="1659">
        <v>2</v>
      </c>
      <c r="DC18" s="1659"/>
      <c r="DD18" s="1659"/>
      <c r="DE18" s="1659"/>
      <c r="DF18" s="1659"/>
      <c r="DG18" s="1659">
        <f t="shared" si="1"/>
        <v>3</v>
      </c>
      <c r="DH18" s="1659"/>
      <c r="DI18" s="1659"/>
      <c r="DJ18" s="1659"/>
      <c r="DK18" s="1659"/>
      <c r="DL18" s="1659" t="s">
        <v>3568</v>
      </c>
      <c r="DM18" s="1659"/>
      <c r="DN18" s="1659"/>
      <c r="DO18" s="1659"/>
      <c r="DP18" s="1659" t="s">
        <v>3568</v>
      </c>
      <c r="DQ18" s="1659"/>
      <c r="DR18" s="1659"/>
      <c r="DS18" s="1659"/>
      <c r="DT18" s="1659">
        <f t="shared" si="2"/>
        <v>3</v>
      </c>
      <c r="DU18" s="1659"/>
      <c r="DV18" s="1659"/>
      <c r="DW18" s="1659"/>
      <c r="DX18" s="1659"/>
      <c r="DY18" s="1680" t="s">
        <v>1911</v>
      </c>
      <c r="DZ18" s="1691"/>
      <c r="EA18" s="1691"/>
      <c r="EB18" s="1691"/>
      <c r="EC18" s="1681"/>
      <c r="ED18" s="1680" t="s">
        <v>1912</v>
      </c>
      <c r="EE18" s="1691"/>
      <c r="EF18" s="1691"/>
      <c r="EG18" s="1691"/>
      <c r="EH18" s="1681"/>
      <c r="EI18" s="1705" t="s">
        <v>1913</v>
      </c>
      <c r="EJ18" s="1705"/>
      <c r="EK18" s="1705"/>
      <c r="EL18" s="1705"/>
      <c r="EM18" s="1705"/>
      <c r="EN18" s="1659">
        <v>1.92</v>
      </c>
      <c r="EO18" s="1659"/>
      <c r="EP18" s="1659"/>
      <c r="EQ18" s="1659"/>
      <c r="ER18" s="1659" t="s">
        <v>3568</v>
      </c>
      <c r="ES18" s="1659"/>
      <c r="ET18" s="1659"/>
      <c r="EU18" s="1659"/>
      <c r="EV18" s="1659"/>
      <c r="EW18" s="1659"/>
      <c r="EX18" s="1659"/>
      <c r="EY18" s="1659"/>
      <c r="EZ18" s="1696" t="s">
        <v>1907</v>
      </c>
      <c r="FA18" s="1697"/>
      <c r="FB18" s="1697"/>
      <c r="FC18" s="1697"/>
      <c r="FD18" s="1697"/>
      <c r="FE18" s="1698"/>
      <c r="FF18" s="1680" t="s">
        <v>1914</v>
      </c>
      <c r="FG18" s="1691"/>
      <c r="FH18" s="1691"/>
      <c r="FI18" s="1691"/>
      <c r="FJ18" s="1691"/>
      <c r="FK18" s="1681"/>
      <c r="FM18" s="1659" t="s">
        <v>1915</v>
      </c>
      <c r="FN18" s="1659"/>
      <c r="FO18" s="1659"/>
      <c r="FP18" s="1659"/>
      <c r="FS18" s="1407">
        <f t="shared" ref="FS18:FS27" si="3">DT18*EN18</f>
        <v>5.76</v>
      </c>
    </row>
    <row r="19" spans="1:175" s="1413" customFormat="1" ht="12" hidden="1" customHeight="1">
      <c r="A19" s="1692"/>
      <c r="B19" s="1693"/>
      <c r="C19" s="1693"/>
      <c r="D19" s="1694"/>
      <c r="E19" s="1699"/>
      <c r="F19" s="1700"/>
      <c r="G19" s="1700"/>
      <c r="H19" s="1700"/>
      <c r="I19" s="1700"/>
      <c r="J19" s="1700"/>
      <c r="K19" s="1701"/>
      <c r="L19" s="1659" t="s">
        <v>1916</v>
      </c>
      <c r="M19" s="1659"/>
      <c r="N19" s="1659"/>
      <c r="O19" s="1659"/>
      <c r="P19" s="1659"/>
      <c r="Q19" s="1659"/>
      <c r="R19" s="1668" t="s">
        <v>1903</v>
      </c>
      <c r="S19" s="1669"/>
      <c r="T19" s="1669"/>
      <c r="U19" s="1669"/>
      <c r="V19" s="1670"/>
      <c r="W19" s="1659" t="s">
        <v>1904</v>
      </c>
      <c r="X19" s="1659"/>
      <c r="Y19" s="1659"/>
      <c r="Z19" s="1659"/>
      <c r="AA19" s="1659"/>
      <c r="AB19" s="1668">
        <v>0</v>
      </c>
      <c r="AC19" s="1669"/>
      <c r="AD19" s="1669"/>
      <c r="AE19" s="1669"/>
      <c r="AF19" s="1670"/>
      <c r="AG19" s="1659" t="s">
        <v>3568</v>
      </c>
      <c r="AH19" s="1659"/>
      <c r="AI19" s="1659"/>
      <c r="AJ19" s="1659"/>
      <c r="AK19" s="1659"/>
      <c r="AL19" s="1659" t="s">
        <v>3568</v>
      </c>
      <c r="AM19" s="1659"/>
      <c r="AN19" s="1659"/>
      <c r="AO19" s="1659"/>
      <c r="AP19" s="1659"/>
      <c r="AQ19" s="1659" t="s">
        <v>3568</v>
      </c>
      <c r="AR19" s="1659"/>
      <c r="AS19" s="1659"/>
      <c r="AT19" s="1659"/>
      <c r="AU19" s="1659" t="s">
        <v>3568</v>
      </c>
      <c r="AV19" s="1659"/>
      <c r="AW19" s="1659"/>
      <c r="AX19" s="1659"/>
      <c r="AY19" s="1659">
        <v>2</v>
      </c>
      <c r="AZ19" s="1659"/>
      <c r="BA19" s="1659"/>
      <c r="BB19" s="1659"/>
      <c r="BC19" s="1659" t="s">
        <v>3568</v>
      </c>
      <c r="BD19" s="1659"/>
      <c r="BE19" s="1659"/>
      <c r="BF19" s="1659"/>
      <c r="BG19" s="1659" t="s">
        <v>3568</v>
      </c>
      <c r="BH19" s="1659"/>
      <c r="BI19" s="1659"/>
      <c r="BJ19" s="1659"/>
      <c r="BK19" s="1659" t="s">
        <v>3568</v>
      </c>
      <c r="BL19" s="1659"/>
      <c r="BM19" s="1659"/>
      <c r="BN19" s="1659"/>
      <c r="BO19" s="1659" t="s">
        <v>3568</v>
      </c>
      <c r="BP19" s="1659"/>
      <c r="BQ19" s="1659"/>
      <c r="BR19" s="1659"/>
      <c r="BS19" s="1659">
        <f t="shared" si="0"/>
        <v>2</v>
      </c>
      <c r="BT19" s="1659"/>
      <c r="BU19" s="1659"/>
      <c r="BV19" s="1659"/>
      <c r="BW19" s="1659"/>
      <c r="BX19" s="1659" t="s">
        <v>3568</v>
      </c>
      <c r="BY19" s="1659"/>
      <c r="BZ19" s="1659"/>
      <c r="CA19" s="1659"/>
      <c r="CB19" s="1659" t="s">
        <v>3568</v>
      </c>
      <c r="CC19" s="1659"/>
      <c r="CD19" s="1659"/>
      <c r="CE19" s="1659"/>
      <c r="CF19" s="1659">
        <v>1</v>
      </c>
      <c r="CG19" s="1659"/>
      <c r="CH19" s="1659"/>
      <c r="CI19" s="1659"/>
      <c r="CJ19" s="1659" t="s">
        <v>3568</v>
      </c>
      <c r="CK19" s="1659"/>
      <c r="CL19" s="1659"/>
      <c r="CM19" s="1659"/>
      <c r="CN19" s="1659" t="s">
        <v>3568</v>
      </c>
      <c r="CO19" s="1659"/>
      <c r="CP19" s="1659"/>
      <c r="CQ19" s="1659"/>
      <c r="CR19" s="1659" t="s">
        <v>3568</v>
      </c>
      <c r="CS19" s="1659"/>
      <c r="CT19" s="1659"/>
      <c r="CU19" s="1659"/>
      <c r="CV19" s="1659"/>
      <c r="CW19" s="1659" t="s">
        <v>3568</v>
      </c>
      <c r="CX19" s="1659"/>
      <c r="CY19" s="1659"/>
      <c r="CZ19" s="1659"/>
      <c r="DA19" s="1659"/>
      <c r="DB19" s="1659">
        <v>1</v>
      </c>
      <c r="DC19" s="1659"/>
      <c r="DD19" s="1659"/>
      <c r="DE19" s="1659"/>
      <c r="DF19" s="1659"/>
      <c r="DG19" s="1659">
        <f t="shared" si="1"/>
        <v>1</v>
      </c>
      <c r="DH19" s="1659"/>
      <c r="DI19" s="1659"/>
      <c r="DJ19" s="1659"/>
      <c r="DK19" s="1659"/>
      <c r="DL19" s="1659" t="s">
        <v>3568</v>
      </c>
      <c r="DM19" s="1659"/>
      <c r="DN19" s="1659"/>
      <c r="DO19" s="1659"/>
      <c r="DP19" s="1659" t="s">
        <v>3568</v>
      </c>
      <c r="DQ19" s="1659"/>
      <c r="DR19" s="1659"/>
      <c r="DS19" s="1659"/>
      <c r="DT19" s="1659">
        <f t="shared" si="2"/>
        <v>1</v>
      </c>
      <c r="DU19" s="1659"/>
      <c r="DV19" s="1659"/>
      <c r="DW19" s="1659"/>
      <c r="DX19" s="1659"/>
      <c r="DY19" s="1692"/>
      <c r="DZ19" s="1693"/>
      <c r="EA19" s="1693"/>
      <c r="EB19" s="1693"/>
      <c r="EC19" s="1694"/>
      <c r="ED19" s="1692"/>
      <c r="EE19" s="1693"/>
      <c r="EF19" s="1693"/>
      <c r="EG19" s="1693"/>
      <c r="EH19" s="1694"/>
      <c r="EI19" s="1705" t="s">
        <v>1917</v>
      </c>
      <c r="EJ19" s="1705"/>
      <c r="EK19" s="1705"/>
      <c r="EL19" s="1705"/>
      <c r="EM19" s="1705"/>
      <c r="EN19" s="1659">
        <v>2.13</v>
      </c>
      <c r="EO19" s="1659"/>
      <c r="EP19" s="1659"/>
      <c r="EQ19" s="1659"/>
      <c r="ER19" s="1659" t="s">
        <v>3568</v>
      </c>
      <c r="ES19" s="1659"/>
      <c r="ET19" s="1659"/>
      <c r="EU19" s="1659"/>
      <c r="EV19" s="1659"/>
      <c r="EW19" s="1659"/>
      <c r="EX19" s="1659"/>
      <c r="EY19" s="1659"/>
      <c r="EZ19" s="1699"/>
      <c r="FA19" s="1700"/>
      <c r="FB19" s="1700"/>
      <c r="FC19" s="1700"/>
      <c r="FD19" s="1700"/>
      <c r="FE19" s="1701"/>
      <c r="FF19" s="1692"/>
      <c r="FG19" s="1693"/>
      <c r="FH19" s="1693"/>
      <c r="FI19" s="1693"/>
      <c r="FJ19" s="1693"/>
      <c r="FK19" s="1694"/>
      <c r="FM19" s="1659" t="s">
        <v>1918</v>
      </c>
      <c r="FN19" s="1659"/>
      <c r="FO19" s="1659"/>
      <c r="FP19" s="1659"/>
      <c r="FS19" s="1407">
        <f t="shared" si="3"/>
        <v>2.13</v>
      </c>
    </row>
    <row r="20" spans="1:175" s="1413" customFormat="1" ht="12" hidden="1" customHeight="1">
      <c r="A20" s="1692"/>
      <c r="B20" s="1693"/>
      <c r="C20" s="1693"/>
      <c r="D20" s="1694"/>
      <c r="E20" s="1699"/>
      <c r="F20" s="1700"/>
      <c r="G20" s="1700"/>
      <c r="H20" s="1700"/>
      <c r="I20" s="1700"/>
      <c r="J20" s="1700"/>
      <c r="K20" s="1701"/>
      <c r="L20" s="1659" t="s">
        <v>1919</v>
      </c>
      <c r="M20" s="1659"/>
      <c r="N20" s="1659"/>
      <c r="O20" s="1659"/>
      <c r="P20" s="1659"/>
      <c r="Q20" s="1659"/>
      <c r="R20" s="1668" t="s">
        <v>1903</v>
      </c>
      <c r="S20" s="1669"/>
      <c r="T20" s="1669"/>
      <c r="U20" s="1669"/>
      <c r="V20" s="1670"/>
      <c r="W20" s="1659" t="s">
        <v>1904</v>
      </c>
      <c r="X20" s="1659"/>
      <c r="Y20" s="1659"/>
      <c r="Z20" s="1659"/>
      <c r="AA20" s="1659"/>
      <c r="AB20" s="1668">
        <v>0</v>
      </c>
      <c r="AC20" s="1669"/>
      <c r="AD20" s="1669"/>
      <c r="AE20" s="1669"/>
      <c r="AF20" s="1670"/>
      <c r="AG20" s="1659" t="s">
        <v>3568</v>
      </c>
      <c r="AH20" s="1659"/>
      <c r="AI20" s="1659"/>
      <c r="AJ20" s="1659"/>
      <c r="AK20" s="1659"/>
      <c r="AL20" s="1659" t="s">
        <v>3568</v>
      </c>
      <c r="AM20" s="1659"/>
      <c r="AN20" s="1659"/>
      <c r="AO20" s="1659"/>
      <c r="AP20" s="1659"/>
      <c r="AQ20" s="1659" t="s">
        <v>3568</v>
      </c>
      <c r="AR20" s="1659"/>
      <c r="AS20" s="1659"/>
      <c r="AT20" s="1659"/>
      <c r="AU20" s="1659" t="s">
        <v>3568</v>
      </c>
      <c r="AV20" s="1659"/>
      <c r="AW20" s="1659"/>
      <c r="AX20" s="1659"/>
      <c r="AY20" s="1658">
        <v>1</v>
      </c>
      <c r="AZ20" s="1658"/>
      <c r="BA20" s="1658"/>
      <c r="BB20" s="1658"/>
      <c r="BC20" s="1659" t="s">
        <v>3568</v>
      </c>
      <c r="BD20" s="1659"/>
      <c r="BE20" s="1659"/>
      <c r="BF20" s="1659"/>
      <c r="BG20" s="1659">
        <v>2</v>
      </c>
      <c r="BH20" s="1659"/>
      <c r="BI20" s="1659"/>
      <c r="BJ20" s="1659"/>
      <c r="BK20" s="1659" t="s">
        <v>3568</v>
      </c>
      <c r="BL20" s="1659"/>
      <c r="BM20" s="1659"/>
      <c r="BN20" s="1659"/>
      <c r="BO20" s="1659" t="s">
        <v>3568</v>
      </c>
      <c r="BP20" s="1659"/>
      <c r="BQ20" s="1659"/>
      <c r="BR20" s="1659"/>
      <c r="BS20" s="1659">
        <f t="shared" si="0"/>
        <v>3</v>
      </c>
      <c r="BT20" s="1659"/>
      <c r="BU20" s="1659"/>
      <c r="BV20" s="1659"/>
      <c r="BW20" s="1659"/>
      <c r="BX20" s="1659" t="s">
        <v>3568</v>
      </c>
      <c r="BY20" s="1659"/>
      <c r="BZ20" s="1659"/>
      <c r="CA20" s="1659"/>
      <c r="CB20" s="1659" t="s">
        <v>3568</v>
      </c>
      <c r="CC20" s="1659"/>
      <c r="CD20" s="1659"/>
      <c r="CE20" s="1659"/>
      <c r="CF20" s="1659">
        <v>1</v>
      </c>
      <c r="CG20" s="1659"/>
      <c r="CH20" s="1659"/>
      <c r="CI20" s="1659"/>
      <c r="CJ20" s="1659" t="s">
        <v>3568</v>
      </c>
      <c r="CK20" s="1659"/>
      <c r="CL20" s="1659"/>
      <c r="CM20" s="1659"/>
      <c r="CN20" s="1659">
        <v>2</v>
      </c>
      <c r="CO20" s="1659"/>
      <c r="CP20" s="1659"/>
      <c r="CQ20" s="1659"/>
      <c r="CR20" s="1659">
        <v>2</v>
      </c>
      <c r="CS20" s="1659"/>
      <c r="CT20" s="1659"/>
      <c r="CU20" s="1659"/>
      <c r="CV20" s="1659"/>
      <c r="CW20" s="1659" t="s">
        <v>3568</v>
      </c>
      <c r="CX20" s="1659"/>
      <c r="CY20" s="1659"/>
      <c r="CZ20" s="1659"/>
      <c r="DA20" s="1659"/>
      <c r="DB20" s="1659">
        <v>1</v>
      </c>
      <c r="DC20" s="1659"/>
      <c r="DD20" s="1659"/>
      <c r="DE20" s="1659"/>
      <c r="DF20" s="1659"/>
      <c r="DG20" s="1659">
        <f t="shared" si="1"/>
        <v>3</v>
      </c>
      <c r="DH20" s="1659"/>
      <c r="DI20" s="1659"/>
      <c r="DJ20" s="1659"/>
      <c r="DK20" s="1659"/>
      <c r="DL20" s="1659" t="s">
        <v>3568</v>
      </c>
      <c r="DM20" s="1659"/>
      <c r="DN20" s="1659"/>
      <c r="DO20" s="1659"/>
      <c r="DP20" s="1659" t="s">
        <v>3568</v>
      </c>
      <c r="DQ20" s="1659"/>
      <c r="DR20" s="1659"/>
      <c r="DS20" s="1659"/>
      <c r="DT20" s="1659">
        <f t="shared" si="2"/>
        <v>3</v>
      </c>
      <c r="DU20" s="1659"/>
      <c r="DV20" s="1659"/>
      <c r="DW20" s="1659"/>
      <c r="DX20" s="1659"/>
      <c r="DY20" s="1692"/>
      <c r="DZ20" s="1693"/>
      <c r="EA20" s="1693"/>
      <c r="EB20" s="1693"/>
      <c r="EC20" s="1694"/>
      <c r="ED20" s="1692"/>
      <c r="EE20" s="1693"/>
      <c r="EF20" s="1693"/>
      <c r="EG20" s="1693"/>
      <c r="EH20" s="1694"/>
      <c r="EI20" s="1705" t="s">
        <v>1920</v>
      </c>
      <c r="EJ20" s="1705"/>
      <c r="EK20" s="1705"/>
      <c r="EL20" s="1705"/>
      <c r="EM20" s="1705"/>
      <c r="EN20" s="1659">
        <v>2.7</v>
      </c>
      <c r="EO20" s="1659"/>
      <c r="EP20" s="1659"/>
      <c r="EQ20" s="1659"/>
      <c r="ER20" s="1659" t="s">
        <v>3568</v>
      </c>
      <c r="ES20" s="1659"/>
      <c r="ET20" s="1659"/>
      <c r="EU20" s="1659"/>
      <c r="EV20" s="1659"/>
      <c r="EW20" s="1659"/>
      <c r="EX20" s="1659"/>
      <c r="EY20" s="1659"/>
      <c r="EZ20" s="1699"/>
      <c r="FA20" s="1700"/>
      <c r="FB20" s="1700"/>
      <c r="FC20" s="1700"/>
      <c r="FD20" s="1700"/>
      <c r="FE20" s="1701"/>
      <c r="FF20" s="1692"/>
      <c r="FG20" s="1693"/>
      <c r="FH20" s="1693"/>
      <c r="FI20" s="1693"/>
      <c r="FJ20" s="1693"/>
      <c r="FK20" s="1694"/>
      <c r="FM20" s="1659" t="s">
        <v>1921</v>
      </c>
      <c r="FN20" s="1659"/>
      <c r="FO20" s="1659"/>
      <c r="FP20" s="1659"/>
      <c r="FS20" s="1407">
        <f t="shared" si="3"/>
        <v>8.1000000000000014</v>
      </c>
    </row>
    <row r="21" spans="1:175" ht="12.75" hidden="1" customHeight="1">
      <c r="A21" s="1682"/>
      <c r="B21" s="1695"/>
      <c r="C21" s="1695"/>
      <c r="D21" s="1683"/>
      <c r="E21" s="1702"/>
      <c r="F21" s="1703"/>
      <c r="G21" s="1703"/>
      <c r="H21" s="1703"/>
      <c r="I21" s="1703"/>
      <c r="J21" s="1703"/>
      <c r="K21" s="1704"/>
      <c r="L21" s="1659" t="s">
        <v>1922</v>
      </c>
      <c r="M21" s="1659"/>
      <c r="N21" s="1659"/>
      <c r="O21" s="1659"/>
      <c r="P21" s="1659"/>
      <c r="Q21" s="1659"/>
      <c r="R21" s="1668" t="s">
        <v>1903</v>
      </c>
      <c r="S21" s="1669"/>
      <c r="T21" s="1669"/>
      <c r="U21" s="1669"/>
      <c r="V21" s="1670"/>
      <c r="W21" s="1659" t="s">
        <v>1904</v>
      </c>
      <c r="X21" s="1659"/>
      <c r="Y21" s="1659"/>
      <c r="Z21" s="1659"/>
      <c r="AA21" s="1659"/>
      <c r="AB21" s="1668">
        <v>0</v>
      </c>
      <c r="AC21" s="1669"/>
      <c r="AD21" s="1669"/>
      <c r="AE21" s="1669"/>
      <c r="AF21" s="1670"/>
      <c r="AG21" s="1659" t="s">
        <v>3568</v>
      </c>
      <c r="AH21" s="1659"/>
      <c r="AI21" s="1659"/>
      <c r="AJ21" s="1659"/>
      <c r="AK21" s="1659"/>
      <c r="AL21" s="1659" t="s">
        <v>3568</v>
      </c>
      <c r="AM21" s="1659"/>
      <c r="AN21" s="1659"/>
      <c r="AO21" s="1659"/>
      <c r="AP21" s="1659"/>
      <c r="AQ21" s="1659" t="s">
        <v>3568</v>
      </c>
      <c r="AR21" s="1659"/>
      <c r="AS21" s="1659"/>
      <c r="AT21" s="1659"/>
      <c r="AU21" s="1668" t="s">
        <v>3568</v>
      </c>
      <c r="AV21" s="1669"/>
      <c r="AW21" s="1669"/>
      <c r="AX21" s="1670"/>
      <c r="AY21" s="1668">
        <v>1</v>
      </c>
      <c r="AZ21" s="1669"/>
      <c r="BA21" s="1669"/>
      <c r="BB21" s="1670"/>
      <c r="BC21" s="1659" t="s">
        <v>3568</v>
      </c>
      <c r="BD21" s="1659"/>
      <c r="BE21" s="1659"/>
      <c r="BF21" s="1659"/>
      <c r="BG21" s="1659" t="s">
        <v>3568</v>
      </c>
      <c r="BH21" s="1659"/>
      <c r="BI21" s="1659"/>
      <c r="BJ21" s="1659"/>
      <c r="BK21" s="1659" t="s">
        <v>3568</v>
      </c>
      <c r="BL21" s="1659"/>
      <c r="BM21" s="1659"/>
      <c r="BN21" s="1659"/>
      <c r="BO21" s="1659" t="s">
        <v>3568</v>
      </c>
      <c r="BP21" s="1659"/>
      <c r="BQ21" s="1659"/>
      <c r="BR21" s="1659"/>
      <c r="BS21" s="1659">
        <f t="shared" si="0"/>
        <v>1</v>
      </c>
      <c r="BT21" s="1659"/>
      <c r="BU21" s="1659"/>
      <c r="BV21" s="1659"/>
      <c r="BW21" s="1659"/>
      <c r="BX21" s="1659" t="s">
        <v>3568</v>
      </c>
      <c r="BY21" s="1659"/>
      <c r="BZ21" s="1659"/>
      <c r="CA21" s="1659"/>
      <c r="CB21" s="1659" t="s">
        <v>3568</v>
      </c>
      <c r="CC21" s="1659"/>
      <c r="CD21" s="1659"/>
      <c r="CE21" s="1659"/>
      <c r="CF21" s="1659">
        <v>1</v>
      </c>
      <c r="CG21" s="1659"/>
      <c r="CH21" s="1659"/>
      <c r="CI21" s="1659"/>
      <c r="CJ21" s="1659" t="s">
        <v>3568</v>
      </c>
      <c r="CK21" s="1659"/>
      <c r="CL21" s="1659"/>
      <c r="CM21" s="1659"/>
      <c r="CN21" s="1659" t="s">
        <v>3568</v>
      </c>
      <c r="CO21" s="1659"/>
      <c r="CP21" s="1659"/>
      <c r="CQ21" s="1659"/>
      <c r="CR21" s="1659" t="s">
        <v>3568</v>
      </c>
      <c r="CS21" s="1659"/>
      <c r="CT21" s="1659"/>
      <c r="CU21" s="1659"/>
      <c r="CV21" s="1659"/>
      <c r="CW21" s="1659" t="s">
        <v>3568</v>
      </c>
      <c r="CX21" s="1659"/>
      <c r="CY21" s="1659"/>
      <c r="CZ21" s="1659"/>
      <c r="DA21" s="1659"/>
      <c r="DB21" s="1659">
        <v>1</v>
      </c>
      <c r="DC21" s="1659"/>
      <c r="DD21" s="1659"/>
      <c r="DE21" s="1659"/>
      <c r="DF21" s="1659"/>
      <c r="DG21" s="1659">
        <f t="shared" si="1"/>
        <v>1</v>
      </c>
      <c r="DH21" s="1659"/>
      <c r="DI21" s="1659"/>
      <c r="DJ21" s="1659"/>
      <c r="DK21" s="1659"/>
      <c r="DL21" s="1659" t="s">
        <v>3568</v>
      </c>
      <c r="DM21" s="1659"/>
      <c r="DN21" s="1659"/>
      <c r="DO21" s="1659"/>
      <c r="DP21" s="1659" t="s">
        <v>3568</v>
      </c>
      <c r="DQ21" s="1659"/>
      <c r="DR21" s="1659"/>
      <c r="DS21" s="1659"/>
      <c r="DT21" s="1659">
        <f t="shared" si="2"/>
        <v>1</v>
      </c>
      <c r="DU21" s="1659"/>
      <c r="DV21" s="1659"/>
      <c r="DW21" s="1659"/>
      <c r="DX21" s="1659"/>
      <c r="DY21" s="1682"/>
      <c r="DZ21" s="1695"/>
      <c r="EA21" s="1695"/>
      <c r="EB21" s="1695"/>
      <c r="EC21" s="1683"/>
      <c r="ED21" s="1682"/>
      <c r="EE21" s="1695"/>
      <c r="EF21" s="1695"/>
      <c r="EG21" s="1695"/>
      <c r="EH21" s="1683"/>
      <c r="EI21" s="1705" t="s">
        <v>1912</v>
      </c>
      <c r="EJ21" s="1705"/>
      <c r="EK21" s="1705"/>
      <c r="EL21" s="1705"/>
      <c r="EM21" s="1705"/>
      <c r="EN21" s="1659">
        <v>8.08</v>
      </c>
      <c r="EO21" s="1659"/>
      <c r="EP21" s="1659"/>
      <c r="EQ21" s="1659"/>
      <c r="ER21" s="1659" t="s">
        <v>3568</v>
      </c>
      <c r="ES21" s="1659"/>
      <c r="ET21" s="1659"/>
      <c r="EU21" s="1659"/>
      <c r="EV21" s="1659"/>
      <c r="EW21" s="1659"/>
      <c r="EX21" s="1659"/>
      <c r="EY21" s="1659"/>
      <c r="EZ21" s="1702"/>
      <c r="FA21" s="1703"/>
      <c r="FB21" s="1703"/>
      <c r="FC21" s="1703"/>
      <c r="FD21" s="1703"/>
      <c r="FE21" s="1704"/>
      <c r="FF21" s="1682"/>
      <c r="FG21" s="1695"/>
      <c r="FH21" s="1695"/>
      <c r="FI21" s="1695"/>
      <c r="FJ21" s="1695"/>
      <c r="FK21" s="1683"/>
      <c r="FM21" s="1659" t="s">
        <v>1923</v>
      </c>
      <c r="FN21" s="1659"/>
      <c r="FO21" s="1659"/>
      <c r="FP21" s="1659"/>
      <c r="FS21" s="1407">
        <f t="shared" si="3"/>
        <v>8.08</v>
      </c>
    </row>
    <row r="22" spans="1:175" ht="76.5" customHeight="1">
      <c r="A22" s="1660">
        <v>2</v>
      </c>
      <c r="B22" s="1662"/>
      <c r="C22" s="1411"/>
      <c r="D22" s="1411"/>
      <c r="E22" s="1411" t="s">
        <v>1459</v>
      </c>
      <c r="F22" s="1414"/>
      <c r="G22" s="1414"/>
      <c r="H22" s="1414"/>
      <c r="I22" s="1414"/>
      <c r="J22" s="1414"/>
      <c r="K22" s="1414"/>
      <c r="L22" s="1668" t="s">
        <v>1924</v>
      </c>
      <c r="M22" s="1669"/>
      <c r="N22" s="1669"/>
      <c r="O22" s="1669"/>
      <c r="P22" s="1669"/>
      <c r="Q22" s="1670"/>
      <c r="R22" s="1668" t="s">
        <v>1925</v>
      </c>
      <c r="S22" s="1669"/>
      <c r="T22" s="1669"/>
      <c r="U22" s="1669"/>
      <c r="V22" s="1670"/>
      <c r="W22" s="1659" t="s">
        <v>1904</v>
      </c>
      <c r="X22" s="1659"/>
      <c r="Y22" s="1659"/>
      <c r="Z22" s="1659"/>
      <c r="AA22" s="1659"/>
      <c r="AB22" s="1668">
        <v>0</v>
      </c>
      <c r="AC22" s="1669"/>
      <c r="AD22" s="1669"/>
      <c r="AE22" s="1669"/>
      <c r="AF22" s="1670"/>
      <c r="AG22" s="1659" t="s">
        <v>3568</v>
      </c>
      <c r="AH22" s="1659"/>
      <c r="AI22" s="1659"/>
      <c r="AJ22" s="1659"/>
      <c r="AK22" s="1659"/>
      <c r="AL22" s="1659" t="s">
        <v>3568</v>
      </c>
      <c r="AM22" s="1659"/>
      <c r="AN22" s="1659"/>
      <c r="AO22" s="1659"/>
      <c r="AP22" s="1659"/>
      <c r="AQ22" s="1658" t="s">
        <v>3568</v>
      </c>
      <c r="AR22" s="1658"/>
      <c r="AS22" s="1658"/>
      <c r="AT22" s="1658"/>
      <c r="AU22" s="1658" t="s">
        <v>3568</v>
      </c>
      <c r="AV22" s="1658"/>
      <c r="AW22" s="1658"/>
      <c r="AX22" s="1658"/>
      <c r="AY22" s="1658" t="s">
        <v>3568</v>
      </c>
      <c r="AZ22" s="1658"/>
      <c r="BA22" s="1658"/>
      <c r="BB22" s="1658"/>
      <c r="BC22" s="1658">
        <v>33</v>
      </c>
      <c r="BD22" s="1658"/>
      <c r="BE22" s="1658"/>
      <c r="BF22" s="1658"/>
      <c r="BG22" s="1658">
        <v>7</v>
      </c>
      <c r="BH22" s="1658"/>
      <c r="BI22" s="1658"/>
      <c r="BJ22" s="1658"/>
      <c r="BK22" s="1658">
        <v>2</v>
      </c>
      <c r="BL22" s="1658"/>
      <c r="BM22" s="1658"/>
      <c r="BN22" s="1658"/>
      <c r="BO22" s="1658" t="s">
        <v>3568</v>
      </c>
      <c r="BP22" s="1658"/>
      <c r="BQ22" s="1658"/>
      <c r="BR22" s="1658"/>
      <c r="BS22" s="1658">
        <f t="shared" si="0"/>
        <v>42</v>
      </c>
      <c r="BT22" s="1658"/>
      <c r="BU22" s="1658"/>
      <c r="BV22" s="1658"/>
      <c r="BW22" s="1658"/>
      <c r="BX22" s="1658" t="s">
        <v>3568</v>
      </c>
      <c r="BY22" s="1658"/>
      <c r="BZ22" s="1658"/>
      <c r="CA22" s="1658"/>
      <c r="CB22" s="1658" t="s">
        <v>3568</v>
      </c>
      <c r="CC22" s="1658"/>
      <c r="CD22" s="1658"/>
      <c r="CE22" s="1658"/>
      <c r="CF22" s="1658" t="s">
        <v>3568</v>
      </c>
      <c r="CG22" s="1658"/>
      <c r="CH22" s="1658"/>
      <c r="CI22" s="1658"/>
      <c r="CJ22" s="1658">
        <v>8</v>
      </c>
      <c r="CK22" s="1658"/>
      <c r="CL22" s="1658"/>
      <c r="CM22" s="1658"/>
      <c r="CN22" s="1658">
        <v>6</v>
      </c>
      <c r="CO22" s="1658"/>
      <c r="CP22" s="1658"/>
      <c r="CQ22" s="1658"/>
      <c r="CR22" s="1658">
        <v>5</v>
      </c>
      <c r="CS22" s="1658"/>
      <c r="CT22" s="1658"/>
      <c r="CU22" s="1658"/>
      <c r="CV22" s="1658"/>
      <c r="CW22" s="1658">
        <v>3</v>
      </c>
      <c r="CX22" s="1658"/>
      <c r="CY22" s="1658"/>
      <c r="CZ22" s="1658"/>
      <c r="DA22" s="1658"/>
      <c r="DB22" s="1658">
        <v>6</v>
      </c>
      <c r="DC22" s="1658"/>
      <c r="DD22" s="1658"/>
      <c r="DE22" s="1658"/>
      <c r="DF22" s="1658"/>
      <c r="DG22" s="1658">
        <f t="shared" si="1"/>
        <v>14</v>
      </c>
      <c r="DH22" s="1658"/>
      <c r="DI22" s="1658"/>
      <c r="DJ22" s="1658"/>
      <c r="DK22" s="1658"/>
      <c r="DL22" s="1658">
        <v>1</v>
      </c>
      <c r="DM22" s="1658"/>
      <c r="DN22" s="1658"/>
      <c r="DO22" s="1658"/>
      <c r="DP22" s="1658" t="s">
        <v>3568</v>
      </c>
      <c r="DQ22" s="1658"/>
      <c r="DR22" s="1658"/>
      <c r="DS22" s="1658"/>
      <c r="DT22" s="1658">
        <f t="shared" si="2"/>
        <v>15</v>
      </c>
      <c r="DU22" s="1658"/>
      <c r="DV22" s="1658"/>
      <c r="DW22" s="1658"/>
      <c r="DX22" s="1658"/>
      <c r="DY22" s="1660" t="s">
        <v>1926</v>
      </c>
      <c r="DZ22" s="1661"/>
      <c r="EA22" s="1661"/>
      <c r="EB22" s="1409"/>
      <c r="EC22" s="1410"/>
      <c r="ED22" s="1660" t="s">
        <v>1927</v>
      </c>
      <c r="EE22" s="1661"/>
      <c r="EF22" s="1661"/>
      <c r="EG22" s="1661"/>
      <c r="EH22" s="1662"/>
      <c r="EI22" s="1660" t="s">
        <v>1927</v>
      </c>
      <c r="EJ22" s="1661"/>
      <c r="EK22" s="1661"/>
      <c r="EL22" s="1661"/>
      <c r="EM22" s="1662"/>
      <c r="EN22" s="1659">
        <v>0.2</v>
      </c>
      <c r="EO22" s="1659"/>
      <c r="EP22" s="1659"/>
      <c r="EQ22" s="1659"/>
      <c r="ER22" s="1659" t="s">
        <v>3568</v>
      </c>
      <c r="ES22" s="1659"/>
      <c r="ET22" s="1659"/>
      <c r="EU22" s="1659"/>
      <c r="EV22" s="1659"/>
      <c r="EW22" s="1659"/>
      <c r="EX22" s="1659"/>
      <c r="EY22" s="1659"/>
      <c r="EZ22" s="1660" t="s">
        <v>1907</v>
      </c>
      <c r="FA22" s="1661"/>
      <c r="FB22" s="1661"/>
      <c r="FC22" s="1661"/>
      <c r="FD22" s="1661"/>
      <c r="FE22" s="1662"/>
      <c r="FF22" s="1660" t="s">
        <v>1928</v>
      </c>
      <c r="FG22" s="1661"/>
      <c r="FH22" s="1661"/>
      <c r="FI22" s="1661"/>
      <c r="FJ22" s="1661"/>
      <c r="FK22" s="1662"/>
      <c r="FM22" s="1659" t="s">
        <v>1929</v>
      </c>
      <c r="FN22" s="1659"/>
      <c r="FO22" s="1659"/>
      <c r="FP22" s="1659"/>
      <c r="FS22" s="1407">
        <f t="shared" si="3"/>
        <v>3</v>
      </c>
    </row>
    <row r="23" spans="1:175" ht="12.75" customHeight="1">
      <c r="A23" s="1660">
        <v>3</v>
      </c>
      <c r="B23" s="1662"/>
      <c r="C23" s="1411"/>
      <c r="D23" s="1411"/>
      <c r="E23" s="1411" t="s">
        <v>1459</v>
      </c>
      <c r="F23" s="1414"/>
      <c r="G23" s="1414"/>
      <c r="H23" s="1414"/>
      <c r="I23" s="1414"/>
      <c r="J23" s="1414"/>
      <c r="K23" s="1414"/>
      <c r="L23" s="1659" t="s">
        <v>1930</v>
      </c>
      <c r="M23" s="1659"/>
      <c r="N23" s="1659"/>
      <c r="O23" s="1659"/>
      <c r="P23" s="1659"/>
      <c r="Q23" s="1659"/>
      <c r="R23" s="1668" t="s">
        <v>1925</v>
      </c>
      <c r="S23" s="1669"/>
      <c r="T23" s="1669"/>
      <c r="U23" s="1669"/>
      <c r="V23" s="1670"/>
      <c r="W23" s="1659" t="s">
        <v>1904</v>
      </c>
      <c r="X23" s="1659"/>
      <c r="Y23" s="1659"/>
      <c r="Z23" s="1659"/>
      <c r="AA23" s="1659"/>
      <c r="AB23" s="1668">
        <v>0</v>
      </c>
      <c r="AC23" s="1669"/>
      <c r="AD23" s="1669"/>
      <c r="AE23" s="1669"/>
      <c r="AF23" s="1670"/>
      <c r="AG23" s="1659" t="s">
        <v>3568</v>
      </c>
      <c r="AH23" s="1659"/>
      <c r="AI23" s="1659"/>
      <c r="AJ23" s="1659"/>
      <c r="AK23" s="1659"/>
      <c r="AL23" s="1659" t="s">
        <v>3568</v>
      </c>
      <c r="AM23" s="1659"/>
      <c r="AN23" s="1659"/>
      <c r="AO23" s="1659"/>
      <c r="AP23" s="1659"/>
      <c r="AQ23" s="1658" t="s">
        <v>3568</v>
      </c>
      <c r="AR23" s="1658"/>
      <c r="AS23" s="1658"/>
      <c r="AT23" s="1658"/>
      <c r="AU23" s="1658" t="s">
        <v>3568</v>
      </c>
      <c r="AV23" s="1658"/>
      <c r="AW23" s="1658"/>
      <c r="AX23" s="1658"/>
      <c r="AY23" s="1658">
        <v>1</v>
      </c>
      <c r="AZ23" s="1658"/>
      <c r="BA23" s="1658"/>
      <c r="BB23" s="1658"/>
      <c r="BC23" s="1658" t="s">
        <v>3568</v>
      </c>
      <c r="BD23" s="1658"/>
      <c r="BE23" s="1658"/>
      <c r="BF23" s="1658"/>
      <c r="BG23" s="1658" t="s">
        <v>3568</v>
      </c>
      <c r="BH23" s="1658"/>
      <c r="BI23" s="1658"/>
      <c r="BJ23" s="1658"/>
      <c r="BK23" s="1658" t="s">
        <v>3568</v>
      </c>
      <c r="BL23" s="1658"/>
      <c r="BM23" s="1658"/>
      <c r="BN23" s="1658"/>
      <c r="BO23" s="1658" t="s">
        <v>3568</v>
      </c>
      <c r="BP23" s="1658"/>
      <c r="BQ23" s="1658"/>
      <c r="BR23" s="1658"/>
      <c r="BS23" s="1658">
        <f t="shared" si="0"/>
        <v>1</v>
      </c>
      <c r="BT23" s="1658"/>
      <c r="BU23" s="1658"/>
      <c r="BV23" s="1658"/>
      <c r="BW23" s="1658"/>
      <c r="BX23" s="1658" t="s">
        <v>3568</v>
      </c>
      <c r="BY23" s="1658"/>
      <c r="BZ23" s="1658"/>
      <c r="CA23" s="1658"/>
      <c r="CB23" s="1658" t="s">
        <v>3568</v>
      </c>
      <c r="CC23" s="1658"/>
      <c r="CD23" s="1658"/>
      <c r="CE23" s="1658"/>
      <c r="CF23" s="1658">
        <v>2</v>
      </c>
      <c r="CG23" s="1658"/>
      <c r="CH23" s="1658"/>
      <c r="CI23" s="1658"/>
      <c r="CJ23" s="1658" t="s">
        <v>3568</v>
      </c>
      <c r="CK23" s="1658"/>
      <c r="CL23" s="1658"/>
      <c r="CM23" s="1658"/>
      <c r="CN23" s="1659" t="s">
        <v>3568</v>
      </c>
      <c r="CO23" s="1659"/>
      <c r="CP23" s="1659"/>
      <c r="CQ23" s="1659"/>
      <c r="CR23" s="1659" t="s">
        <v>3568</v>
      </c>
      <c r="CS23" s="1659"/>
      <c r="CT23" s="1659"/>
      <c r="CU23" s="1659"/>
      <c r="CV23" s="1659"/>
      <c r="CW23" s="1659" t="s">
        <v>3568</v>
      </c>
      <c r="CX23" s="1659"/>
      <c r="CY23" s="1659"/>
      <c r="CZ23" s="1659"/>
      <c r="DA23" s="1659"/>
      <c r="DB23" s="1658">
        <v>2</v>
      </c>
      <c r="DC23" s="1658"/>
      <c r="DD23" s="1658"/>
      <c r="DE23" s="1658"/>
      <c r="DF23" s="1658"/>
      <c r="DG23" s="1658">
        <f t="shared" si="1"/>
        <v>2</v>
      </c>
      <c r="DH23" s="1658"/>
      <c r="DI23" s="1658"/>
      <c r="DJ23" s="1658"/>
      <c r="DK23" s="1658"/>
      <c r="DL23" s="1658" t="s">
        <v>3568</v>
      </c>
      <c r="DM23" s="1658"/>
      <c r="DN23" s="1658"/>
      <c r="DO23" s="1658"/>
      <c r="DP23" s="1658" t="s">
        <v>3568</v>
      </c>
      <c r="DQ23" s="1658"/>
      <c r="DR23" s="1658"/>
      <c r="DS23" s="1658"/>
      <c r="DT23" s="1658">
        <f t="shared" si="2"/>
        <v>2</v>
      </c>
      <c r="DU23" s="1658"/>
      <c r="DV23" s="1658"/>
      <c r="DW23" s="1658"/>
      <c r="DX23" s="1658"/>
      <c r="DY23" s="1660" t="s">
        <v>1931</v>
      </c>
      <c r="DZ23" s="1661"/>
      <c r="EA23" s="1661"/>
      <c r="EB23" s="1409"/>
      <c r="EC23" s="1410"/>
      <c r="ED23" s="1660" t="s">
        <v>1932</v>
      </c>
      <c r="EE23" s="1661"/>
      <c r="EF23" s="1661"/>
      <c r="EG23" s="1661"/>
      <c r="EH23" s="1662"/>
      <c r="EI23" s="1660" t="s">
        <v>1932</v>
      </c>
      <c r="EJ23" s="1661"/>
      <c r="EK23" s="1661"/>
      <c r="EL23" s="1661"/>
      <c r="EM23" s="1662"/>
      <c r="EN23" s="1659">
        <v>0.35</v>
      </c>
      <c r="EO23" s="1659"/>
      <c r="EP23" s="1659"/>
      <c r="EQ23" s="1659"/>
      <c r="ER23" s="1659" t="s">
        <v>3568</v>
      </c>
      <c r="ES23" s="1659"/>
      <c r="ET23" s="1659"/>
      <c r="EU23" s="1659"/>
      <c r="EV23" s="1659"/>
      <c r="EW23" s="1659"/>
      <c r="EX23" s="1659"/>
      <c r="EY23" s="1659"/>
      <c r="EZ23" s="1660" t="s">
        <v>1907</v>
      </c>
      <c r="FA23" s="1661"/>
      <c r="FB23" s="1661"/>
      <c r="FC23" s="1661"/>
      <c r="FD23" s="1661"/>
      <c r="FE23" s="1662"/>
      <c r="FF23" s="1660" t="s">
        <v>1933</v>
      </c>
      <c r="FG23" s="1661"/>
      <c r="FH23" s="1661"/>
      <c r="FI23" s="1661"/>
      <c r="FJ23" s="1661"/>
      <c r="FK23" s="1662"/>
      <c r="FM23" s="1659" t="s">
        <v>1934</v>
      </c>
      <c r="FN23" s="1659"/>
      <c r="FO23" s="1659"/>
      <c r="FP23" s="1659"/>
      <c r="FS23" s="1407">
        <f t="shared" si="3"/>
        <v>0.7</v>
      </c>
    </row>
    <row r="24" spans="1:175" ht="12.75" customHeight="1">
      <c r="A24" s="1660">
        <v>4</v>
      </c>
      <c r="B24" s="1662"/>
      <c r="C24" s="1411"/>
      <c r="D24" s="1411"/>
      <c r="E24" s="1411" t="s">
        <v>1459</v>
      </c>
      <c r="F24" s="1414"/>
      <c r="G24" s="1414"/>
      <c r="H24" s="1414"/>
      <c r="I24" s="1414"/>
      <c r="J24" s="1414"/>
      <c r="K24" s="1414"/>
      <c r="L24" s="1659" t="s">
        <v>1935</v>
      </c>
      <c r="M24" s="1659"/>
      <c r="N24" s="1659"/>
      <c r="O24" s="1659"/>
      <c r="P24" s="1659"/>
      <c r="Q24" s="1659"/>
      <c r="R24" s="1668" t="s">
        <v>1903</v>
      </c>
      <c r="S24" s="1669"/>
      <c r="T24" s="1669"/>
      <c r="U24" s="1669"/>
      <c r="V24" s="1670"/>
      <c r="W24" s="1659" t="s">
        <v>1904</v>
      </c>
      <c r="X24" s="1659"/>
      <c r="Y24" s="1659"/>
      <c r="Z24" s="1659"/>
      <c r="AA24" s="1659"/>
      <c r="AB24" s="1668">
        <v>0</v>
      </c>
      <c r="AC24" s="1669"/>
      <c r="AD24" s="1669"/>
      <c r="AE24" s="1669"/>
      <c r="AF24" s="1670"/>
      <c r="AG24" s="1659" t="s">
        <v>3568</v>
      </c>
      <c r="AH24" s="1659"/>
      <c r="AI24" s="1659"/>
      <c r="AJ24" s="1659"/>
      <c r="AK24" s="1659"/>
      <c r="AL24" s="1659" t="s">
        <v>3568</v>
      </c>
      <c r="AM24" s="1659"/>
      <c r="AN24" s="1659"/>
      <c r="AO24" s="1659"/>
      <c r="AP24" s="1659"/>
      <c r="AQ24" s="1658" t="s">
        <v>3568</v>
      </c>
      <c r="AR24" s="1658"/>
      <c r="AS24" s="1658"/>
      <c r="AT24" s="1658"/>
      <c r="AU24" s="1658" t="s">
        <v>3568</v>
      </c>
      <c r="AV24" s="1658"/>
      <c r="AW24" s="1658"/>
      <c r="AX24" s="1658"/>
      <c r="AY24" s="1658">
        <v>2</v>
      </c>
      <c r="AZ24" s="1658"/>
      <c r="BA24" s="1658"/>
      <c r="BB24" s="1658"/>
      <c r="BC24" s="1658">
        <v>1</v>
      </c>
      <c r="BD24" s="1658"/>
      <c r="BE24" s="1658"/>
      <c r="BF24" s="1658"/>
      <c r="BG24" s="1658" t="s">
        <v>3568</v>
      </c>
      <c r="BH24" s="1658"/>
      <c r="BI24" s="1658"/>
      <c r="BJ24" s="1658"/>
      <c r="BK24" s="1658" t="s">
        <v>3568</v>
      </c>
      <c r="BL24" s="1658"/>
      <c r="BM24" s="1658"/>
      <c r="BN24" s="1658"/>
      <c r="BO24" s="1658" t="s">
        <v>3568</v>
      </c>
      <c r="BP24" s="1658"/>
      <c r="BQ24" s="1658"/>
      <c r="BR24" s="1658"/>
      <c r="BS24" s="1658">
        <f t="shared" si="0"/>
        <v>3</v>
      </c>
      <c r="BT24" s="1658"/>
      <c r="BU24" s="1658"/>
      <c r="BV24" s="1658"/>
      <c r="BW24" s="1658"/>
      <c r="BX24" s="1658" t="s">
        <v>3568</v>
      </c>
      <c r="BY24" s="1658"/>
      <c r="BZ24" s="1658"/>
      <c r="CA24" s="1658"/>
      <c r="CB24" s="1658" t="s">
        <v>3568</v>
      </c>
      <c r="CC24" s="1658"/>
      <c r="CD24" s="1658"/>
      <c r="CE24" s="1658"/>
      <c r="CF24" s="1658">
        <v>1</v>
      </c>
      <c r="CG24" s="1658"/>
      <c r="CH24" s="1658"/>
      <c r="CI24" s="1658"/>
      <c r="CJ24" s="1658">
        <v>1</v>
      </c>
      <c r="CK24" s="1658"/>
      <c r="CL24" s="1658"/>
      <c r="CM24" s="1658"/>
      <c r="CN24" s="1659" t="s">
        <v>3568</v>
      </c>
      <c r="CO24" s="1659"/>
      <c r="CP24" s="1659"/>
      <c r="CQ24" s="1659"/>
      <c r="CR24" s="1659" t="s">
        <v>3568</v>
      </c>
      <c r="CS24" s="1659"/>
      <c r="CT24" s="1659"/>
      <c r="CU24" s="1659"/>
      <c r="CV24" s="1659"/>
      <c r="CW24" s="1659" t="s">
        <v>3568</v>
      </c>
      <c r="CX24" s="1659"/>
      <c r="CY24" s="1659"/>
      <c r="CZ24" s="1659"/>
      <c r="DA24" s="1659"/>
      <c r="DB24" s="1658">
        <v>2</v>
      </c>
      <c r="DC24" s="1658"/>
      <c r="DD24" s="1658"/>
      <c r="DE24" s="1658"/>
      <c r="DF24" s="1658"/>
      <c r="DG24" s="1658">
        <f t="shared" si="1"/>
        <v>2</v>
      </c>
      <c r="DH24" s="1658"/>
      <c r="DI24" s="1658"/>
      <c r="DJ24" s="1658"/>
      <c r="DK24" s="1658"/>
      <c r="DL24" s="1658" t="s">
        <v>3568</v>
      </c>
      <c r="DM24" s="1658"/>
      <c r="DN24" s="1658"/>
      <c r="DO24" s="1658"/>
      <c r="DP24" s="1658" t="s">
        <v>3568</v>
      </c>
      <c r="DQ24" s="1658"/>
      <c r="DR24" s="1658"/>
      <c r="DS24" s="1658"/>
      <c r="DT24" s="1658">
        <f t="shared" si="2"/>
        <v>2</v>
      </c>
      <c r="DU24" s="1658"/>
      <c r="DV24" s="1658"/>
      <c r="DW24" s="1658"/>
      <c r="DX24" s="1658"/>
      <c r="DY24" s="1660" t="s">
        <v>1936</v>
      </c>
      <c r="DZ24" s="1661"/>
      <c r="EA24" s="1661"/>
      <c r="EB24" s="1409"/>
      <c r="EC24" s="1410"/>
      <c r="ED24" s="1660" t="s">
        <v>1937</v>
      </c>
      <c r="EE24" s="1661"/>
      <c r="EF24" s="1661"/>
      <c r="EG24" s="1661"/>
      <c r="EH24" s="1662"/>
      <c r="EI24" s="1660" t="s">
        <v>1937</v>
      </c>
      <c r="EJ24" s="1661"/>
      <c r="EK24" s="1661"/>
      <c r="EL24" s="1661"/>
      <c r="EM24" s="1662"/>
      <c r="EN24" s="1659">
        <v>1.77</v>
      </c>
      <c r="EO24" s="1659"/>
      <c r="EP24" s="1659"/>
      <c r="EQ24" s="1659"/>
      <c r="ER24" s="1659" t="s">
        <v>3568</v>
      </c>
      <c r="ES24" s="1659"/>
      <c r="ET24" s="1659"/>
      <c r="EU24" s="1659"/>
      <c r="EV24" s="1659"/>
      <c r="EW24" s="1659"/>
      <c r="EX24" s="1659"/>
      <c r="EY24" s="1659"/>
      <c r="EZ24" s="1660" t="s">
        <v>1907</v>
      </c>
      <c r="FA24" s="1661"/>
      <c r="FB24" s="1661"/>
      <c r="FC24" s="1661"/>
      <c r="FD24" s="1661"/>
      <c r="FE24" s="1662"/>
      <c r="FF24" s="1660" t="s">
        <v>1938</v>
      </c>
      <c r="FG24" s="1661"/>
      <c r="FH24" s="1661"/>
      <c r="FI24" s="1661"/>
      <c r="FJ24" s="1661"/>
      <c r="FK24" s="1662"/>
      <c r="FM24" s="1659" t="s">
        <v>1939</v>
      </c>
      <c r="FN24" s="1659"/>
      <c r="FO24" s="1659"/>
      <c r="FP24" s="1659"/>
      <c r="FS24" s="1407">
        <f t="shared" si="3"/>
        <v>3.54</v>
      </c>
    </row>
    <row r="25" spans="1:175" ht="25.5" customHeight="1">
      <c r="A25" s="1680" t="s">
        <v>2059</v>
      </c>
      <c r="B25" s="1681"/>
      <c r="C25" s="1415"/>
      <c r="D25" s="1415"/>
      <c r="E25" s="1684" t="s">
        <v>1459</v>
      </c>
      <c r="F25" s="1414"/>
      <c r="G25" s="1414"/>
      <c r="H25" s="1414"/>
      <c r="I25" s="1414"/>
      <c r="J25" s="1414"/>
      <c r="K25" s="1414"/>
      <c r="L25" s="1668" t="s">
        <v>1940</v>
      </c>
      <c r="M25" s="1669"/>
      <c r="N25" s="1669"/>
      <c r="O25" s="1669"/>
      <c r="P25" s="1669"/>
      <c r="Q25" s="1670"/>
      <c r="R25" s="1668" t="s">
        <v>1903</v>
      </c>
      <c r="S25" s="1669"/>
      <c r="T25" s="1669"/>
      <c r="U25" s="1669"/>
      <c r="V25" s="1670"/>
      <c r="W25" s="1659" t="s">
        <v>1904</v>
      </c>
      <c r="X25" s="1659"/>
      <c r="Y25" s="1659"/>
      <c r="Z25" s="1659"/>
      <c r="AA25" s="1659"/>
      <c r="AB25" s="1668">
        <v>0</v>
      </c>
      <c r="AC25" s="1669"/>
      <c r="AD25" s="1669"/>
      <c r="AE25" s="1669"/>
      <c r="AF25" s="1670"/>
      <c r="AG25" s="1659" t="s">
        <v>3568</v>
      </c>
      <c r="AH25" s="1659"/>
      <c r="AI25" s="1659"/>
      <c r="AJ25" s="1659"/>
      <c r="AK25" s="1659"/>
      <c r="AL25" s="1659" t="s">
        <v>3568</v>
      </c>
      <c r="AM25" s="1659"/>
      <c r="AN25" s="1659"/>
      <c r="AO25" s="1659"/>
      <c r="AP25" s="1659"/>
      <c r="AQ25" s="1658" t="s">
        <v>3568</v>
      </c>
      <c r="AR25" s="1658"/>
      <c r="AS25" s="1658"/>
      <c r="AT25" s="1658"/>
      <c r="AU25" s="1658" t="s">
        <v>3568</v>
      </c>
      <c r="AV25" s="1658"/>
      <c r="AW25" s="1658"/>
      <c r="AX25" s="1658"/>
      <c r="AY25" s="1658" t="s">
        <v>3568</v>
      </c>
      <c r="AZ25" s="1658"/>
      <c r="BA25" s="1658"/>
      <c r="BB25" s="1658"/>
      <c r="BC25" s="1658">
        <v>1</v>
      </c>
      <c r="BD25" s="1658"/>
      <c r="BE25" s="1658"/>
      <c r="BF25" s="1658"/>
      <c r="BG25" s="1658">
        <v>2</v>
      </c>
      <c r="BH25" s="1658"/>
      <c r="BI25" s="1658"/>
      <c r="BJ25" s="1658"/>
      <c r="BK25" s="1658" t="s">
        <v>3568</v>
      </c>
      <c r="BL25" s="1658"/>
      <c r="BM25" s="1658"/>
      <c r="BN25" s="1658"/>
      <c r="BO25" s="1658" t="s">
        <v>3568</v>
      </c>
      <c r="BP25" s="1658"/>
      <c r="BQ25" s="1658"/>
      <c r="BR25" s="1658"/>
      <c r="BS25" s="1658">
        <f t="shared" si="0"/>
        <v>3</v>
      </c>
      <c r="BT25" s="1658"/>
      <c r="BU25" s="1658"/>
      <c r="BV25" s="1658"/>
      <c r="BW25" s="1658"/>
      <c r="BX25" s="1658" t="s">
        <v>3568</v>
      </c>
      <c r="BY25" s="1658"/>
      <c r="BZ25" s="1658"/>
      <c r="CA25" s="1658"/>
      <c r="CB25" s="1658" t="s">
        <v>3568</v>
      </c>
      <c r="CC25" s="1658"/>
      <c r="CD25" s="1658"/>
      <c r="CE25" s="1658"/>
      <c r="CF25" s="1658" t="s">
        <v>3568</v>
      </c>
      <c r="CG25" s="1658"/>
      <c r="CH25" s="1658"/>
      <c r="CI25" s="1658"/>
      <c r="CJ25" s="1658">
        <v>1</v>
      </c>
      <c r="CK25" s="1658"/>
      <c r="CL25" s="1658"/>
      <c r="CM25" s="1658"/>
      <c r="CN25" s="1659">
        <v>2</v>
      </c>
      <c r="CO25" s="1659"/>
      <c r="CP25" s="1659"/>
      <c r="CQ25" s="1659"/>
      <c r="CR25" s="1659">
        <v>2</v>
      </c>
      <c r="CS25" s="1659"/>
      <c r="CT25" s="1659"/>
      <c r="CU25" s="1659"/>
      <c r="CV25" s="1659"/>
      <c r="CW25" s="1659" t="s">
        <v>3568</v>
      </c>
      <c r="CX25" s="1659"/>
      <c r="CY25" s="1659"/>
      <c r="CZ25" s="1659"/>
      <c r="DA25" s="1659"/>
      <c r="DB25" s="1658">
        <v>1</v>
      </c>
      <c r="DC25" s="1658"/>
      <c r="DD25" s="1658"/>
      <c r="DE25" s="1658"/>
      <c r="DF25" s="1658"/>
      <c r="DG25" s="1658">
        <f t="shared" si="1"/>
        <v>3</v>
      </c>
      <c r="DH25" s="1658"/>
      <c r="DI25" s="1658"/>
      <c r="DJ25" s="1658"/>
      <c r="DK25" s="1658"/>
      <c r="DL25" s="1658" t="s">
        <v>3568</v>
      </c>
      <c r="DM25" s="1658"/>
      <c r="DN25" s="1658"/>
      <c r="DO25" s="1658"/>
      <c r="DP25" s="1658" t="s">
        <v>3568</v>
      </c>
      <c r="DQ25" s="1658"/>
      <c r="DR25" s="1658"/>
      <c r="DS25" s="1658"/>
      <c r="DT25" s="1658">
        <f t="shared" si="2"/>
        <v>3</v>
      </c>
      <c r="DU25" s="1658"/>
      <c r="DV25" s="1658"/>
      <c r="DW25" s="1658"/>
      <c r="DX25" s="1658"/>
      <c r="DY25" s="1685" t="s">
        <v>1941</v>
      </c>
      <c r="DZ25" s="1686"/>
      <c r="EA25" s="1686"/>
      <c r="EB25" s="1409"/>
      <c r="EC25" s="1410"/>
      <c r="ED25" s="1685" t="s">
        <v>1942</v>
      </c>
      <c r="EE25" s="1686"/>
      <c r="EF25" s="1686"/>
      <c r="EG25" s="1686"/>
      <c r="EH25" s="1687"/>
      <c r="EI25" s="1660" t="s">
        <v>1942</v>
      </c>
      <c r="EJ25" s="1661"/>
      <c r="EK25" s="1661"/>
      <c r="EL25" s="1661"/>
      <c r="EM25" s="1662"/>
      <c r="EN25" s="1659">
        <v>0.38</v>
      </c>
      <c r="EO25" s="1659"/>
      <c r="EP25" s="1659"/>
      <c r="EQ25" s="1659"/>
      <c r="ER25" s="1659" t="s">
        <v>3568</v>
      </c>
      <c r="ES25" s="1659"/>
      <c r="ET25" s="1659"/>
      <c r="EU25" s="1659"/>
      <c r="EV25" s="1659"/>
      <c r="EW25" s="1659"/>
      <c r="EX25" s="1659"/>
      <c r="EY25" s="1659"/>
      <c r="EZ25" s="1660" t="s">
        <v>1907</v>
      </c>
      <c r="FA25" s="1661"/>
      <c r="FB25" s="1661"/>
      <c r="FC25" s="1661"/>
      <c r="FD25" s="1661"/>
      <c r="FE25" s="1662"/>
      <c r="FF25" s="1685" t="s">
        <v>1943</v>
      </c>
      <c r="FG25" s="1686"/>
      <c r="FH25" s="1686"/>
      <c r="FI25" s="1686"/>
      <c r="FJ25" s="1686"/>
      <c r="FK25" s="1687"/>
      <c r="FM25" s="1659" t="s">
        <v>1944</v>
      </c>
      <c r="FN25" s="1659"/>
      <c r="FO25" s="1659"/>
      <c r="FP25" s="1659"/>
      <c r="FS25" s="1407">
        <f t="shared" si="3"/>
        <v>1.1400000000000001</v>
      </c>
    </row>
    <row r="26" spans="1:175" ht="12.75" customHeight="1">
      <c r="A26" s="1682"/>
      <c r="B26" s="1683"/>
      <c r="C26" s="1415"/>
      <c r="D26" s="1415"/>
      <c r="E26" s="1684"/>
      <c r="F26" s="1414"/>
      <c r="G26" s="1414"/>
      <c r="H26" s="1414"/>
      <c r="I26" s="1414"/>
      <c r="J26" s="1414"/>
      <c r="K26" s="1414"/>
      <c r="L26" s="1659" t="s">
        <v>1945</v>
      </c>
      <c r="M26" s="1659"/>
      <c r="N26" s="1659"/>
      <c r="O26" s="1659"/>
      <c r="P26" s="1659"/>
      <c r="Q26" s="1659"/>
      <c r="R26" s="1668" t="s">
        <v>1903</v>
      </c>
      <c r="S26" s="1669"/>
      <c r="T26" s="1669"/>
      <c r="U26" s="1669"/>
      <c r="V26" s="1670"/>
      <c r="W26" s="1659" t="s">
        <v>1904</v>
      </c>
      <c r="X26" s="1659"/>
      <c r="Y26" s="1659"/>
      <c r="Z26" s="1659"/>
      <c r="AA26" s="1659"/>
      <c r="AB26" s="1668">
        <v>0</v>
      </c>
      <c r="AC26" s="1669"/>
      <c r="AD26" s="1669"/>
      <c r="AE26" s="1669"/>
      <c r="AF26" s="1670"/>
      <c r="AG26" s="1659" t="s">
        <v>3568</v>
      </c>
      <c r="AH26" s="1659"/>
      <c r="AI26" s="1659"/>
      <c r="AJ26" s="1659"/>
      <c r="AK26" s="1659"/>
      <c r="AL26" s="1659" t="s">
        <v>3568</v>
      </c>
      <c r="AM26" s="1659"/>
      <c r="AN26" s="1659"/>
      <c r="AO26" s="1659"/>
      <c r="AP26" s="1659"/>
      <c r="AQ26" s="1658" t="s">
        <v>3568</v>
      </c>
      <c r="AR26" s="1658"/>
      <c r="AS26" s="1658"/>
      <c r="AT26" s="1658"/>
      <c r="AU26" s="1658" t="s">
        <v>3568</v>
      </c>
      <c r="AV26" s="1658"/>
      <c r="AW26" s="1658"/>
      <c r="AX26" s="1658"/>
      <c r="AY26" s="1658" t="s">
        <v>3568</v>
      </c>
      <c r="AZ26" s="1658"/>
      <c r="BA26" s="1658"/>
      <c r="BB26" s="1658"/>
      <c r="BC26" s="1658">
        <v>1</v>
      </c>
      <c r="BD26" s="1658"/>
      <c r="BE26" s="1658"/>
      <c r="BF26" s="1658"/>
      <c r="BG26" s="1658" t="s">
        <v>3568</v>
      </c>
      <c r="BH26" s="1658"/>
      <c r="BI26" s="1658"/>
      <c r="BJ26" s="1658"/>
      <c r="BK26" s="1658" t="s">
        <v>3568</v>
      </c>
      <c r="BL26" s="1658"/>
      <c r="BM26" s="1658"/>
      <c r="BN26" s="1658"/>
      <c r="BO26" s="1658" t="s">
        <v>3568</v>
      </c>
      <c r="BP26" s="1658"/>
      <c r="BQ26" s="1658"/>
      <c r="BR26" s="1658"/>
      <c r="BS26" s="1658">
        <f t="shared" si="0"/>
        <v>1</v>
      </c>
      <c r="BT26" s="1658"/>
      <c r="BU26" s="1658"/>
      <c r="BV26" s="1658"/>
      <c r="BW26" s="1658"/>
      <c r="BX26" s="1658" t="s">
        <v>3568</v>
      </c>
      <c r="BY26" s="1658"/>
      <c r="BZ26" s="1658"/>
      <c r="CA26" s="1658"/>
      <c r="CB26" s="1658" t="s">
        <v>3568</v>
      </c>
      <c r="CC26" s="1658"/>
      <c r="CD26" s="1658"/>
      <c r="CE26" s="1658"/>
      <c r="CF26" s="1658" t="s">
        <v>3568</v>
      </c>
      <c r="CG26" s="1658"/>
      <c r="CH26" s="1658"/>
      <c r="CI26" s="1658"/>
      <c r="CJ26" s="1658">
        <v>1</v>
      </c>
      <c r="CK26" s="1658"/>
      <c r="CL26" s="1658"/>
      <c r="CM26" s="1658"/>
      <c r="CN26" s="1659" t="s">
        <v>3568</v>
      </c>
      <c r="CO26" s="1659"/>
      <c r="CP26" s="1659"/>
      <c r="CQ26" s="1659"/>
      <c r="CR26" s="1659" t="s">
        <v>3568</v>
      </c>
      <c r="CS26" s="1659"/>
      <c r="CT26" s="1659"/>
      <c r="CU26" s="1659"/>
      <c r="CV26" s="1659"/>
      <c r="CW26" s="1659" t="s">
        <v>3568</v>
      </c>
      <c r="CX26" s="1659"/>
      <c r="CY26" s="1659"/>
      <c r="CZ26" s="1659"/>
      <c r="DA26" s="1659"/>
      <c r="DB26" s="1658">
        <v>1</v>
      </c>
      <c r="DC26" s="1658"/>
      <c r="DD26" s="1658"/>
      <c r="DE26" s="1658"/>
      <c r="DF26" s="1658"/>
      <c r="DG26" s="1658">
        <f t="shared" si="1"/>
        <v>1</v>
      </c>
      <c r="DH26" s="1658"/>
      <c r="DI26" s="1658"/>
      <c r="DJ26" s="1658"/>
      <c r="DK26" s="1658"/>
      <c r="DL26" s="1658" t="s">
        <v>3568</v>
      </c>
      <c r="DM26" s="1658"/>
      <c r="DN26" s="1658"/>
      <c r="DO26" s="1658"/>
      <c r="DP26" s="1658" t="s">
        <v>3568</v>
      </c>
      <c r="DQ26" s="1658"/>
      <c r="DR26" s="1658"/>
      <c r="DS26" s="1658"/>
      <c r="DT26" s="1658">
        <f t="shared" si="2"/>
        <v>1</v>
      </c>
      <c r="DU26" s="1658"/>
      <c r="DV26" s="1658"/>
      <c r="DW26" s="1658"/>
      <c r="DX26" s="1658"/>
      <c r="DY26" s="1688"/>
      <c r="DZ26" s="1689"/>
      <c r="EA26" s="1689"/>
      <c r="EB26" s="1409"/>
      <c r="EC26" s="1410"/>
      <c r="ED26" s="1688"/>
      <c r="EE26" s="1689"/>
      <c r="EF26" s="1689"/>
      <c r="EG26" s="1689"/>
      <c r="EH26" s="1690"/>
      <c r="EI26" s="1660" t="s">
        <v>1946</v>
      </c>
      <c r="EJ26" s="1661"/>
      <c r="EK26" s="1661"/>
      <c r="EL26" s="1661"/>
      <c r="EM26" s="1662"/>
      <c r="EN26" s="1659">
        <v>0.43</v>
      </c>
      <c r="EO26" s="1659"/>
      <c r="EP26" s="1659"/>
      <c r="EQ26" s="1659"/>
      <c r="ER26" s="1659" t="s">
        <v>3568</v>
      </c>
      <c r="ES26" s="1659"/>
      <c r="ET26" s="1659"/>
      <c r="EU26" s="1659"/>
      <c r="EV26" s="1659"/>
      <c r="EW26" s="1659"/>
      <c r="EX26" s="1659"/>
      <c r="EY26" s="1659"/>
      <c r="EZ26" s="1660" t="s">
        <v>1907</v>
      </c>
      <c r="FA26" s="1661"/>
      <c r="FB26" s="1661"/>
      <c r="FC26" s="1661"/>
      <c r="FD26" s="1661"/>
      <c r="FE26" s="1662"/>
      <c r="FF26" s="1688"/>
      <c r="FG26" s="1689"/>
      <c r="FH26" s="1689"/>
      <c r="FI26" s="1689"/>
      <c r="FJ26" s="1689"/>
      <c r="FK26" s="1690"/>
      <c r="FM26" s="1659" t="s">
        <v>1947</v>
      </c>
      <c r="FN26" s="1659"/>
      <c r="FO26" s="1659"/>
      <c r="FP26" s="1659"/>
      <c r="FS26" s="1407">
        <f t="shared" si="3"/>
        <v>0.43</v>
      </c>
    </row>
    <row r="27" spans="1:175" ht="12.75" customHeight="1">
      <c r="A27" s="1660">
        <v>6</v>
      </c>
      <c r="B27" s="1662"/>
      <c r="C27" s="1411"/>
      <c r="D27" s="1411"/>
      <c r="E27" s="1411" t="s">
        <v>1459</v>
      </c>
      <c r="F27" s="1414"/>
      <c r="G27" s="1414"/>
      <c r="H27" s="1414"/>
      <c r="I27" s="1414"/>
      <c r="J27" s="1414"/>
      <c r="K27" s="1414"/>
      <c r="L27" s="1659" t="s">
        <v>1948</v>
      </c>
      <c r="M27" s="1659"/>
      <c r="N27" s="1659"/>
      <c r="O27" s="1659"/>
      <c r="P27" s="1659"/>
      <c r="Q27" s="1659"/>
      <c r="R27" s="1668" t="s">
        <v>1925</v>
      </c>
      <c r="S27" s="1669"/>
      <c r="T27" s="1669"/>
      <c r="U27" s="1669"/>
      <c r="V27" s="1670"/>
      <c r="W27" s="1659" t="s">
        <v>1904</v>
      </c>
      <c r="X27" s="1659"/>
      <c r="Y27" s="1659"/>
      <c r="Z27" s="1659"/>
      <c r="AA27" s="1659"/>
      <c r="AB27" s="1668">
        <v>0</v>
      </c>
      <c r="AC27" s="1669"/>
      <c r="AD27" s="1669"/>
      <c r="AE27" s="1669"/>
      <c r="AF27" s="1670"/>
      <c r="AG27" s="1659" t="s">
        <v>3568</v>
      </c>
      <c r="AH27" s="1659"/>
      <c r="AI27" s="1659"/>
      <c r="AJ27" s="1659"/>
      <c r="AK27" s="1659"/>
      <c r="AL27" s="1659" t="s">
        <v>3568</v>
      </c>
      <c r="AM27" s="1659"/>
      <c r="AN27" s="1659"/>
      <c r="AO27" s="1659"/>
      <c r="AP27" s="1659"/>
      <c r="AQ27" s="1658" t="s">
        <v>3568</v>
      </c>
      <c r="AR27" s="1658"/>
      <c r="AS27" s="1658"/>
      <c r="AT27" s="1658"/>
      <c r="AU27" s="1658" t="s">
        <v>3568</v>
      </c>
      <c r="AV27" s="1658"/>
      <c r="AW27" s="1658"/>
      <c r="AX27" s="1658"/>
      <c r="AY27" s="1658">
        <v>11</v>
      </c>
      <c r="AZ27" s="1658"/>
      <c r="BA27" s="1658"/>
      <c r="BB27" s="1658"/>
      <c r="BC27" s="1658">
        <v>1</v>
      </c>
      <c r="BD27" s="1658"/>
      <c r="BE27" s="1658"/>
      <c r="BF27" s="1658"/>
      <c r="BG27" s="1658">
        <v>1</v>
      </c>
      <c r="BH27" s="1658"/>
      <c r="BI27" s="1658"/>
      <c r="BJ27" s="1658"/>
      <c r="BK27" s="1658" t="s">
        <v>3568</v>
      </c>
      <c r="BL27" s="1658"/>
      <c r="BM27" s="1658"/>
      <c r="BN27" s="1658"/>
      <c r="BO27" s="1658" t="s">
        <v>3568</v>
      </c>
      <c r="BP27" s="1658"/>
      <c r="BQ27" s="1658"/>
      <c r="BR27" s="1658"/>
      <c r="BS27" s="1658">
        <f t="shared" si="0"/>
        <v>13</v>
      </c>
      <c r="BT27" s="1658"/>
      <c r="BU27" s="1658"/>
      <c r="BV27" s="1658"/>
      <c r="BW27" s="1658"/>
      <c r="BX27" s="1658" t="s">
        <v>3568</v>
      </c>
      <c r="BY27" s="1658"/>
      <c r="BZ27" s="1658"/>
      <c r="CA27" s="1658"/>
      <c r="CB27" s="1658" t="s">
        <v>3568</v>
      </c>
      <c r="CC27" s="1658"/>
      <c r="CD27" s="1658"/>
      <c r="CE27" s="1658"/>
      <c r="CF27" s="1658">
        <v>2</v>
      </c>
      <c r="CG27" s="1658"/>
      <c r="CH27" s="1658"/>
      <c r="CI27" s="1658"/>
      <c r="CJ27" s="1658">
        <v>1</v>
      </c>
      <c r="CK27" s="1658"/>
      <c r="CL27" s="1658"/>
      <c r="CM27" s="1658"/>
      <c r="CN27" s="1659">
        <v>1</v>
      </c>
      <c r="CO27" s="1659"/>
      <c r="CP27" s="1659"/>
      <c r="CQ27" s="1659"/>
      <c r="CR27" s="1659">
        <v>1</v>
      </c>
      <c r="CS27" s="1659"/>
      <c r="CT27" s="1659"/>
      <c r="CU27" s="1659"/>
      <c r="CV27" s="1659"/>
      <c r="CW27" s="1659" t="s">
        <v>3568</v>
      </c>
      <c r="CX27" s="1659"/>
      <c r="CY27" s="1659"/>
      <c r="CZ27" s="1659"/>
      <c r="DA27" s="1659"/>
      <c r="DB27" s="1658">
        <v>3</v>
      </c>
      <c r="DC27" s="1658"/>
      <c r="DD27" s="1658"/>
      <c r="DE27" s="1658"/>
      <c r="DF27" s="1658"/>
      <c r="DG27" s="1658">
        <f t="shared" si="1"/>
        <v>4</v>
      </c>
      <c r="DH27" s="1658"/>
      <c r="DI27" s="1658"/>
      <c r="DJ27" s="1658"/>
      <c r="DK27" s="1658"/>
      <c r="DL27" s="1658" t="s">
        <v>3568</v>
      </c>
      <c r="DM27" s="1658"/>
      <c r="DN27" s="1658"/>
      <c r="DO27" s="1658"/>
      <c r="DP27" s="1658" t="s">
        <v>3568</v>
      </c>
      <c r="DQ27" s="1658"/>
      <c r="DR27" s="1658"/>
      <c r="DS27" s="1658"/>
      <c r="DT27" s="1658">
        <f t="shared" si="2"/>
        <v>4</v>
      </c>
      <c r="DU27" s="1658"/>
      <c r="DV27" s="1658"/>
      <c r="DW27" s="1658"/>
      <c r="DX27" s="1658"/>
      <c r="DY27" s="1660" t="s">
        <v>1949</v>
      </c>
      <c r="DZ27" s="1661"/>
      <c r="EA27" s="1661"/>
      <c r="EB27" s="1409"/>
      <c r="EC27" s="1410"/>
      <c r="ED27" s="1660" t="s">
        <v>1950</v>
      </c>
      <c r="EE27" s="1661"/>
      <c r="EF27" s="1661"/>
      <c r="EG27" s="1661"/>
      <c r="EH27" s="1662"/>
      <c r="EI27" s="1660" t="s">
        <v>1950</v>
      </c>
      <c r="EJ27" s="1661"/>
      <c r="EK27" s="1661"/>
      <c r="EL27" s="1661"/>
      <c r="EM27" s="1662"/>
      <c r="EN27" s="1659">
        <v>0.38</v>
      </c>
      <c r="EO27" s="1659"/>
      <c r="EP27" s="1659"/>
      <c r="EQ27" s="1659"/>
      <c r="ER27" s="1659" t="s">
        <v>3568</v>
      </c>
      <c r="ES27" s="1659"/>
      <c r="ET27" s="1659"/>
      <c r="EU27" s="1659"/>
      <c r="EV27" s="1659"/>
      <c r="EW27" s="1659"/>
      <c r="EX27" s="1659"/>
      <c r="EY27" s="1659"/>
      <c r="EZ27" s="1660" t="s">
        <v>1907</v>
      </c>
      <c r="FA27" s="1661"/>
      <c r="FB27" s="1661"/>
      <c r="FC27" s="1661"/>
      <c r="FD27" s="1661"/>
      <c r="FE27" s="1662"/>
      <c r="FF27" s="1660" t="s">
        <v>1951</v>
      </c>
      <c r="FG27" s="1661"/>
      <c r="FH27" s="1661"/>
      <c r="FI27" s="1661"/>
      <c r="FJ27" s="1661"/>
      <c r="FK27" s="1662"/>
      <c r="FM27" s="1659" t="s">
        <v>1944</v>
      </c>
      <c r="FN27" s="1659"/>
      <c r="FO27" s="1659"/>
      <c r="FP27" s="1659"/>
      <c r="FS27" s="1407">
        <f t="shared" si="3"/>
        <v>1.52</v>
      </c>
    </row>
    <row r="28" spans="1:175">
      <c r="FS28" s="1406">
        <f>SUM(FS17:FS27)</f>
        <v>44.820000000000007</v>
      </c>
    </row>
    <row r="29" spans="1:175" ht="20.25">
      <c r="A29" s="1408"/>
      <c r="E29" s="1671" t="s">
        <v>1959</v>
      </c>
      <c r="F29" s="1672"/>
      <c r="G29" s="1672"/>
      <c r="H29" s="1672"/>
      <c r="I29" s="1672"/>
      <c r="J29" s="1672"/>
      <c r="K29" s="1672"/>
      <c r="L29" s="1672"/>
      <c r="M29" s="1672"/>
      <c r="N29" s="1672"/>
      <c r="O29" s="1672"/>
      <c r="P29" s="1672"/>
      <c r="Q29" s="1672"/>
      <c r="R29" s="1672"/>
      <c r="S29" s="1672"/>
      <c r="T29" s="1672"/>
      <c r="U29" s="1672"/>
      <c r="V29" s="1672"/>
      <c r="W29" s="1672"/>
      <c r="X29" s="1672"/>
      <c r="Y29" s="1672"/>
      <c r="Z29" s="1672"/>
      <c r="AA29" s="1672"/>
      <c r="AB29" s="1672"/>
      <c r="AC29" s="1672"/>
      <c r="AD29" s="1672"/>
      <c r="AE29" s="1672"/>
      <c r="AF29" s="1672"/>
      <c r="AG29" s="1672"/>
      <c r="AH29" s="1672"/>
      <c r="AI29" s="1672"/>
      <c r="AJ29" s="1672"/>
      <c r="AK29" s="1672"/>
      <c r="AL29" s="1672"/>
      <c r="AM29" s="1672"/>
      <c r="AN29" s="1672"/>
      <c r="AO29" s="1672"/>
      <c r="AP29" s="1672"/>
      <c r="AQ29" s="1672"/>
      <c r="AR29" s="1672"/>
      <c r="AS29" s="1672"/>
      <c r="AT29" s="1672"/>
      <c r="AU29" s="1672"/>
      <c r="AV29" s="1672"/>
      <c r="AW29" s="1672"/>
      <c r="AX29" s="1672"/>
      <c r="AY29" s="1672"/>
      <c r="AZ29" s="1672"/>
      <c r="BA29" s="1672"/>
      <c r="BB29" s="1672"/>
      <c r="BC29" s="1672"/>
      <c r="BD29" s="1672"/>
      <c r="BE29" s="1672"/>
      <c r="BF29" s="1672"/>
      <c r="BG29" s="1672"/>
      <c r="BH29" s="1672"/>
      <c r="BI29" s="1672"/>
      <c r="BJ29" s="1672"/>
      <c r="BK29" s="1672"/>
      <c r="BL29" s="1672"/>
      <c r="BM29" s="1672"/>
      <c r="BN29" s="1672"/>
      <c r="BO29" s="1672"/>
      <c r="BP29" s="1672"/>
      <c r="BQ29" s="1672"/>
      <c r="BR29" s="1672"/>
      <c r="BS29" s="1672"/>
      <c r="BT29" s="1672"/>
      <c r="BU29" s="1672"/>
      <c r="BV29" s="1672"/>
      <c r="BW29" s="1672"/>
      <c r="BX29" s="1672"/>
      <c r="BY29" s="1672"/>
      <c r="BZ29" s="1672"/>
      <c r="CA29" s="1672"/>
      <c r="CB29" s="1672"/>
      <c r="CC29" s="1672"/>
      <c r="CD29" s="1672"/>
      <c r="CE29" s="1672"/>
      <c r="CF29" s="1672"/>
      <c r="CG29" s="1672"/>
      <c r="CH29" s="1672"/>
      <c r="CI29" s="1672"/>
      <c r="CJ29" s="1672"/>
      <c r="CK29" s="1672"/>
      <c r="CL29" s="1672"/>
      <c r="CM29" s="1672"/>
      <c r="CN29" s="1672"/>
      <c r="CO29" s="1672"/>
      <c r="CP29" s="1672"/>
      <c r="CQ29" s="1672"/>
      <c r="CR29" s="1672"/>
      <c r="CS29" s="1672"/>
      <c r="CT29" s="1672"/>
      <c r="CU29" s="1672"/>
      <c r="CV29" s="1672"/>
      <c r="CW29" s="1672"/>
      <c r="CX29" s="1672"/>
      <c r="CY29" s="1672"/>
      <c r="CZ29" s="1672"/>
      <c r="DA29" s="1672"/>
      <c r="DB29" s="1672"/>
      <c r="DC29" s="1672"/>
      <c r="DD29" s="1672"/>
      <c r="DE29" s="1672"/>
      <c r="DF29" s="1672"/>
      <c r="DG29" s="1672"/>
      <c r="DH29" s="1672"/>
      <c r="DI29" s="1672"/>
      <c r="DJ29" s="1672"/>
      <c r="DK29" s="1672"/>
      <c r="DL29" s="1672"/>
      <c r="DM29" s="1672"/>
      <c r="DN29" s="1672"/>
      <c r="DO29" s="1672"/>
      <c r="DP29" s="1672"/>
      <c r="DQ29" s="1672"/>
      <c r="DR29" s="1672"/>
      <c r="DS29" s="1672"/>
      <c r="DT29" s="1672"/>
      <c r="DU29" s="1672"/>
      <c r="DV29" s="1672"/>
      <c r="DW29" s="1672"/>
      <c r="DX29" s="1672"/>
      <c r="DY29" s="1672"/>
      <c r="DZ29" s="1672"/>
      <c r="EA29" s="1672"/>
      <c r="EB29" s="1672"/>
      <c r="EC29" s="1672"/>
      <c r="ED29" s="1672"/>
      <c r="EE29" s="1672"/>
      <c r="EF29" s="1672"/>
      <c r="EG29" s="1672"/>
      <c r="EH29" s="1672"/>
      <c r="EI29" s="1672"/>
      <c r="EJ29" s="1672"/>
      <c r="EK29" s="1672"/>
      <c r="EL29" s="1672"/>
      <c r="EM29" s="1672"/>
      <c r="EN29" s="1672"/>
      <c r="EO29" s="1672"/>
      <c r="EP29" s="1672"/>
      <c r="EQ29" s="1672"/>
      <c r="ER29" s="1672"/>
      <c r="ES29" s="1672"/>
      <c r="ET29" s="1672"/>
      <c r="EU29" s="1672"/>
      <c r="EV29" s="1672"/>
      <c r="EW29" s="1672"/>
      <c r="EX29" s="1672"/>
      <c r="EY29" s="1672"/>
      <c r="EZ29" s="1672"/>
      <c r="FA29" s="1672"/>
      <c r="FB29" s="1672"/>
      <c r="FC29" s="1672"/>
      <c r="FD29" s="1672"/>
      <c r="FE29" s="1672"/>
      <c r="FF29" s="1672"/>
      <c r="FG29" s="1672"/>
      <c r="FH29" s="1672"/>
      <c r="FI29" s="1672"/>
      <c r="FJ29" s="1672"/>
      <c r="FK29" s="1673"/>
    </row>
    <row r="30" spans="1:175">
      <c r="A30" s="1663" t="s">
        <v>2049</v>
      </c>
      <c r="B30" s="1663"/>
      <c r="C30" s="1663"/>
      <c r="D30" s="1663"/>
      <c r="E30" s="1674" t="s">
        <v>1459</v>
      </c>
      <c r="F30" s="1674"/>
      <c r="G30" s="1674"/>
      <c r="H30" s="1674"/>
      <c r="I30" s="1674"/>
      <c r="J30" s="1674"/>
      <c r="K30" s="1674"/>
      <c r="L30" s="1667" t="s">
        <v>3568</v>
      </c>
      <c r="M30" s="1667"/>
      <c r="N30" s="1667"/>
      <c r="O30" s="1667"/>
      <c r="P30" s="1667"/>
      <c r="Q30" s="1667"/>
      <c r="R30" s="1664" t="s">
        <v>3568</v>
      </c>
      <c r="S30" s="1665"/>
      <c r="T30" s="1665"/>
      <c r="U30" s="1665"/>
      <c r="V30" s="1666"/>
      <c r="W30" s="1667" t="s">
        <v>3568</v>
      </c>
      <c r="X30" s="1667"/>
      <c r="Y30" s="1667"/>
      <c r="Z30" s="1667"/>
      <c r="AA30" s="1667"/>
      <c r="AB30" s="1664">
        <v>0</v>
      </c>
      <c r="AC30" s="1665"/>
      <c r="AD30" s="1665"/>
      <c r="AE30" s="1665"/>
      <c r="AF30" s="1666"/>
      <c r="AG30" s="1667" t="s">
        <v>3568</v>
      </c>
      <c r="AH30" s="1667"/>
      <c r="AI30" s="1667"/>
      <c r="AJ30" s="1667"/>
      <c r="AK30" s="1667"/>
      <c r="AL30" s="1667" t="s">
        <v>3568</v>
      </c>
      <c r="AM30" s="1667"/>
      <c r="AN30" s="1667"/>
      <c r="AO30" s="1667"/>
      <c r="AP30" s="1667"/>
      <c r="AQ30" s="1667" t="s">
        <v>3568</v>
      </c>
      <c r="AR30" s="1667"/>
      <c r="AS30" s="1667"/>
      <c r="AT30" s="1667"/>
      <c r="AU30" s="1667" t="s">
        <v>3568</v>
      </c>
      <c r="AV30" s="1667"/>
      <c r="AW30" s="1667"/>
      <c r="AX30" s="1667"/>
      <c r="AY30" s="1667" t="s">
        <v>3568</v>
      </c>
      <c r="AZ30" s="1667"/>
      <c r="BA30" s="1667"/>
      <c r="BB30" s="1667"/>
      <c r="BC30" s="1667" t="s">
        <v>3568</v>
      </c>
      <c r="BD30" s="1667"/>
      <c r="BE30" s="1667"/>
      <c r="BF30" s="1667"/>
      <c r="BG30" s="1667" t="s">
        <v>3568</v>
      </c>
      <c r="BH30" s="1667"/>
      <c r="BI30" s="1667"/>
      <c r="BJ30" s="1667"/>
      <c r="BK30" s="1667" t="s">
        <v>3568</v>
      </c>
      <c r="BL30" s="1667"/>
      <c r="BM30" s="1667"/>
      <c r="BN30" s="1667"/>
      <c r="BO30" s="1667" t="s">
        <v>3568</v>
      </c>
      <c r="BP30" s="1667"/>
      <c r="BQ30" s="1667"/>
      <c r="BR30" s="1667"/>
      <c r="BS30" s="1667" t="s">
        <v>3568</v>
      </c>
      <c r="BT30" s="1667"/>
      <c r="BU30" s="1667"/>
      <c r="BV30" s="1667"/>
      <c r="BW30" s="1667"/>
      <c r="BX30" s="1667" t="s">
        <v>3568</v>
      </c>
      <c r="BY30" s="1667"/>
      <c r="BZ30" s="1667"/>
      <c r="CA30" s="1667"/>
      <c r="CB30" s="1667" t="s">
        <v>3568</v>
      </c>
      <c r="CC30" s="1667"/>
      <c r="CD30" s="1667"/>
      <c r="CE30" s="1667"/>
      <c r="CF30" s="1667" t="s">
        <v>3568</v>
      </c>
      <c r="CG30" s="1667"/>
      <c r="CH30" s="1667"/>
      <c r="CI30" s="1667"/>
      <c r="CJ30" s="1667">
        <f>1*0</f>
        <v>0</v>
      </c>
      <c r="CK30" s="1667"/>
      <c r="CL30" s="1667"/>
      <c r="CM30" s="1667"/>
      <c r="CN30" s="1667" t="s">
        <v>3568</v>
      </c>
      <c r="CO30" s="1667"/>
      <c r="CP30" s="1667"/>
      <c r="CQ30" s="1667"/>
      <c r="CR30" s="1667" t="s">
        <v>3568</v>
      </c>
      <c r="CS30" s="1667"/>
      <c r="CT30" s="1667"/>
      <c r="CU30" s="1667"/>
      <c r="CV30" s="1667"/>
      <c r="CW30" s="1667" t="s">
        <v>3568</v>
      </c>
      <c r="CX30" s="1667"/>
      <c r="CY30" s="1667"/>
      <c r="CZ30" s="1667"/>
      <c r="DA30" s="1667"/>
      <c r="DB30" s="1667" t="s">
        <v>3568</v>
      </c>
      <c r="DC30" s="1667"/>
      <c r="DD30" s="1667"/>
      <c r="DE30" s="1667"/>
      <c r="DF30" s="1667"/>
      <c r="DG30" s="1667">
        <f>SUM(BX30:CQ30)</f>
        <v>0</v>
      </c>
      <c r="DH30" s="1667"/>
      <c r="DI30" s="1667"/>
      <c r="DJ30" s="1667"/>
      <c r="DK30" s="1667"/>
      <c r="DL30" s="1667" t="s">
        <v>3568</v>
      </c>
      <c r="DM30" s="1667"/>
      <c r="DN30" s="1667"/>
      <c r="DO30" s="1667"/>
      <c r="DP30" s="1667" t="s">
        <v>3568</v>
      </c>
      <c r="DQ30" s="1667"/>
      <c r="DR30" s="1667"/>
      <c r="DS30" s="1667"/>
      <c r="DT30" s="1667">
        <f>SUM(DG30:DS30)</f>
        <v>0</v>
      </c>
      <c r="DU30" s="1667"/>
      <c r="DV30" s="1667"/>
      <c r="DW30" s="1667"/>
      <c r="DX30" s="1667"/>
      <c r="DY30" s="1663" t="s">
        <v>3568</v>
      </c>
      <c r="DZ30" s="1663"/>
      <c r="EA30" s="1663"/>
      <c r="EB30" s="1663"/>
      <c r="EC30" s="1663"/>
      <c r="ED30" s="1677" t="s">
        <v>1957</v>
      </c>
      <c r="EE30" s="1678"/>
      <c r="EF30" s="1678"/>
      <c r="EG30" s="1678"/>
      <c r="EH30" s="1679"/>
      <c r="EI30" s="1677" t="s">
        <v>3568</v>
      </c>
      <c r="EJ30" s="1678"/>
      <c r="EK30" s="1678"/>
      <c r="EL30" s="1678"/>
      <c r="EM30" s="1679"/>
      <c r="EN30" s="1667">
        <f>0.23*0</f>
        <v>0</v>
      </c>
      <c r="EO30" s="1667"/>
      <c r="EP30" s="1667"/>
      <c r="EQ30" s="1667"/>
      <c r="ER30" s="1667" t="s">
        <v>3568</v>
      </c>
      <c r="ES30" s="1667"/>
      <c r="ET30" s="1667"/>
      <c r="EU30" s="1667"/>
      <c r="EV30" s="1667"/>
      <c r="EW30" s="1667"/>
      <c r="EX30" s="1667"/>
      <c r="EY30" s="1667"/>
      <c r="EZ30" s="1664" t="s">
        <v>1907</v>
      </c>
      <c r="FA30" s="1665"/>
      <c r="FB30" s="1665"/>
      <c r="FC30" s="1665"/>
      <c r="FD30" s="1665"/>
      <c r="FE30" s="1666"/>
      <c r="FF30" s="1663" t="s">
        <v>1958</v>
      </c>
      <c r="FG30" s="1663"/>
      <c r="FH30" s="1663"/>
      <c r="FI30" s="1663"/>
      <c r="FJ30" s="1663"/>
      <c r="FK30" s="1663"/>
      <c r="FS30" s="1417">
        <f>FS17+FS22+FS23+FS24+FS25+FS26+FS27</f>
        <v>20.75</v>
      </c>
    </row>
    <row r="31" spans="1:175">
      <c r="DY31" s="1416"/>
      <c r="DZ31" s="1416"/>
      <c r="EA31" s="1416"/>
      <c r="EB31" s="1416"/>
      <c r="EC31" s="1416"/>
      <c r="ED31" s="1416"/>
      <c r="EE31" s="1416"/>
      <c r="EF31" s="1416"/>
      <c r="EG31" s="1416"/>
      <c r="EH31" s="1416"/>
      <c r="EI31" s="1416"/>
      <c r="EJ31" s="1416"/>
      <c r="EK31" s="1416"/>
      <c r="EL31" s="1416"/>
      <c r="EM31" s="1416"/>
      <c r="EN31" s="1416"/>
      <c r="EO31" s="1416"/>
      <c r="EP31" s="1416"/>
      <c r="EQ31" s="1416"/>
      <c r="ER31" s="1416"/>
      <c r="ES31" s="1416"/>
      <c r="ET31" s="1416"/>
      <c r="EU31" s="1416"/>
      <c r="EV31" s="1416"/>
      <c r="EW31" s="1416"/>
      <c r="EX31" s="1416"/>
      <c r="EY31" s="1416"/>
      <c r="EZ31" s="1416"/>
      <c r="FA31" s="1416"/>
      <c r="FB31" s="1416"/>
      <c r="FC31" s="1416"/>
      <c r="FD31" s="1416"/>
      <c r="FE31" s="1416"/>
    </row>
    <row r="32" spans="1:175" ht="138.75" customHeight="1">
      <c r="A32" s="1675" t="s">
        <v>1952</v>
      </c>
      <c r="B32" s="1676"/>
      <c r="C32" s="1676"/>
      <c r="D32" s="1676"/>
      <c r="E32" s="1676"/>
      <c r="F32" s="1676"/>
      <c r="G32" s="1676"/>
      <c r="H32" s="1676"/>
      <c r="I32" s="1676"/>
      <c r="J32" s="1676"/>
      <c r="K32" s="1676"/>
      <c r="L32" s="1676"/>
      <c r="M32" s="1676"/>
      <c r="N32" s="1676"/>
      <c r="O32" s="1676"/>
      <c r="P32" s="1676"/>
      <c r="Q32" s="1676"/>
      <c r="R32" s="1676"/>
      <c r="S32" s="1676"/>
      <c r="T32" s="1676"/>
      <c r="U32" s="1676"/>
      <c r="V32" s="1676"/>
      <c r="W32" s="1676"/>
      <c r="X32" s="1676"/>
      <c r="Y32" s="1676"/>
      <c r="Z32" s="1676"/>
      <c r="AA32" s="1676"/>
      <c r="AB32" s="1676"/>
      <c r="AC32" s="1676"/>
      <c r="AD32" s="1676"/>
      <c r="AE32" s="1676"/>
      <c r="AF32" s="1676"/>
      <c r="AG32" s="1676"/>
      <c r="AH32" s="1676"/>
      <c r="AI32" s="1676"/>
      <c r="AJ32" s="1676"/>
      <c r="AK32" s="1676"/>
      <c r="AL32" s="1676"/>
      <c r="AM32" s="1676"/>
      <c r="AN32" s="1676"/>
      <c r="AO32" s="1676"/>
      <c r="AP32" s="1676"/>
      <c r="AQ32" s="1676"/>
      <c r="AR32" s="1676"/>
      <c r="AS32" s="1676"/>
      <c r="AT32" s="1676"/>
      <c r="AU32" s="1676"/>
      <c r="AV32" s="1676"/>
      <c r="AW32" s="1676"/>
      <c r="AX32" s="1676"/>
      <c r="AY32" s="1676"/>
      <c r="AZ32" s="1676"/>
      <c r="BA32" s="1676"/>
      <c r="BB32" s="1676"/>
      <c r="BC32" s="1676"/>
      <c r="BD32" s="1676"/>
      <c r="BE32" s="1676"/>
      <c r="BF32" s="1676"/>
      <c r="BG32" s="1676"/>
      <c r="BH32" s="1676"/>
      <c r="BI32" s="1676"/>
      <c r="BJ32" s="1676"/>
      <c r="BK32" s="1676"/>
      <c r="BL32" s="1676"/>
      <c r="BM32" s="1676"/>
      <c r="BN32" s="1676"/>
      <c r="BO32" s="1676"/>
      <c r="BP32" s="1676"/>
      <c r="BQ32" s="1676"/>
      <c r="BR32" s="1676"/>
      <c r="BS32" s="1676"/>
      <c r="BT32" s="1676"/>
      <c r="BU32" s="1676"/>
      <c r="BV32" s="1676"/>
      <c r="BW32" s="1676"/>
      <c r="BX32" s="1676"/>
      <c r="BY32" s="1676"/>
      <c r="BZ32" s="1676"/>
      <c r="CA32" s="1676"/>
      <c r="CB32" s="1676"/>
      <c r="CC32" s="1676"/>
      <c r="CD32" s="1676"/>
      <c r="CE32" s="1676"/>
      <c r="CF32" s="1676"/>
      <c r="CG32" s="1676"/>
      <c r="CH32" s="1676"/>
      <c r="CI32" s="1676"/>
      <c r="CJ32" s="1676"/>
      <c r="FS32" s="1406">
        <f>DT17+DT22+DT23+DT24+DT25+DT26+DT27</f>
        <v>28</v>
      </c>
    </row>
    <row r="36" spans="5:5" ht="14.25">
      <c r="E36" s="319" t="s">
        <v>967</v>
      </c>
    </row>
    <row r="37" spans="5:5" ht="14.25">
      <c r="E37" s="319" t="s">
        <v>966</v>
      </c>
    </row>
    <row r="38" spans="5:5" ht="14.25">
      <c r="E38" s="319" t="s">
        <v>965</v>
      </c>
    </row>
    <row r="39" spans="5:5" ht="14.25">
      <c r="E39" s="319" t="s">
        <v>3573</v>
      </c>
    </row>
    <row r="40" spans="5:5" ht="14.25">
      <c r="E40" s="319" t="s">
        <v>3572</v>
      </c>
    </row>
    <row r="41" spans="5:5" ht="14.25">
      <c r="E41" s="319" t="s">
        <v>4167</v>
      </c>
    </row>
  </sheetData>
  <mergeCells count="508">
    <mergeCell ref="DY14:EC14"/>
    <mergeCell ref="AQ10:BW10"/>
    <mergeCell ref="CJ13:CM14"/>
    <mergeCell ref="BK11:BN13"/>
    <mergeCell ref="AQ11:BJ11"/>
    <mergeCell ref="AB10:AF13"/>
    <mergeCell ref="BG12:BJ13"/>
    <mergeCell ref="DG12:DK13"/>
    <mergeCell ref="DL14:DO14"/>
    <mergeCell ref="CF12:CM12"/>
    <mergeCell ref="DL11:DO13"/>
    <mergeCell ref="DB12:DF13"/>
    <mergeCell ref="A15:D15"/>
    <mergeCell ref="E15:K15"/>
    <mergeCell ref="R15:V15"/>
    <mergeCell ref="W15:AA15"/>
    <mergeCell ref="L15:Q15"/>
    <mergeCell ref="BX12:CE12"/>
    <mergeCell ref="BX13:CA14"/>
    <mergeCell ref="CB13:CE14"/>
    <mergeCell ref="BS11:BW13"/>
    <mergeCell ref="BS14:BW14"/>
    <mergeCell ref="A10:D13"/>
    <mergeCell ref="E10:K13"/>
    <mergeCell ref="A14:D14"/>
    <mergeCell ref="AU15:AX15"/>
    <mergeCell ref="AG15:AK15"/>
    <mergeCell ref="AL15:AP15"/>
    <mergeCell ref="AB15:AF15"/>
    <mergeCell ref="AQ15:AT15"/>
    <mergeCell ref="AL10:AP13"/>
    <mergeCell ref="BC13:BF14"/>
    <mergeCell ref="BK14:BN14"/>
    <mergeCell ref="CF13:CI14"/>
    <mergeCell ref="E14:K14"/>
    <mergeCell ref="AL14:AP14"/>
    <mergeCell ref="AY13:BB14"/>
    <mergeCell ref="L14:Q14"/>
    <mergeCell ref="R10:V13"/>
    <mergeCell ref="AG10:AK13"/>
    <mergeCell ref="R14:V14"/>
    <mergeCell ref="W10:AA13"/>
    <mergeCell ref="AY12:BF12"/>
    <mergeCell ref="AU13:AX14"/>
    <mergeCell ref="AB14:AF14"/>
    <mergeCell ref="AQ13:AT14"/>
    <mergeCell ref="AG14:AK14"/>
    <mergeCell ref="W14:AA14"/>
    <mergeCell ref="L10:Q13"/>
    <mergeCell ref="BX11:DK11"/>
    <mergeCell ref="FF10:FK13"/>
    <mergeCell ref="DY10:EC13"/>
    <mergeCell ref="DP14:DS14"/>
    <mergeCell ref="DP11:DS13"/>
    <mergeCell ref="FF14:FK14"/>
    <mergeCell ref="EZ10:FE13"/>
    <mergeCell ref="DT14:DX14"/>
    <mergeCell ref="DT11:DX13"/>
    <mergeCell ref="CN14:CQ14"/>
    <mergeCell ref="EZ14:FE14"/>
    <mergeCell ref="EI10:EM13"/>
    <mergeCell ref="ED10:EH13"/>
    <mergeCell ref="CN12:CQ13"/>
    <mergeCell ref="CR12:CV13"/>
    <mergeCell ref="CW12:DA13"/>
    <mergeCell ref="CW14:DA14"/>
    <mergeCell ref="DB14:DF14"/>
    <mergeCell ref="EN10:EQ13"/>
    <mergeCell ref="EI14:EM14"/>
    <mergeCell ref="ER10:EY13"/>
    <mergeCell ref="EN14:EQ14"/>
    <mergeCell ref="DG14:DK14"/>
    <mergeCell ref="CR14:CV14"/>
    <mergeCell ref="ED14:EH14"/>
    <mergeCell ref="AG17:AK17"/>
    <mergeCell ref="AL17:AP17"/>
    <mergeCell ref="AQ17:AT17"/>
    <mergeCell ref="ER14:EY14"/>
    <mergeCell ref="BX10:DX10"/>
    <mergeCell ref="BC15:BF15"/>
    <mergeCell ref="AQ12:AX12"/>
    <mergeCell ref="BG14:BJ14"/>
    <mergeCell ref="BO14:BR14"/>
    <mergeCell ref="CF17:CI17"/>
    <mergeCell ref="BC17:BF17"/>
    <mergeCell ref="BG17:BJ17"/>
    <mergeCell ref="BK17:BN17"/>
    <mergeCell ref="BS15:BW15"/>
    <mergeCell ref="CJ15:CM15"/>
    <mergeCell ref="CR15:CV15"/>
    <mergeCell ref="DG15:DK15"/>
    <mergeCell ref="DB15:DF15"/>
    <mergeCell ref="DB17:DF17"/>
    <mergeCell ref="CR17:CV17"/>
    <mergeCell ref="CW15:DA15"/>
    <mergeCell ref="DG17:DK17"/>
    <mergeCell ref="CW17:DA17"/>
    <mergeCell ref="BO11:BR13"/>
    <mergeCell ref="R17:V17"/>
    <mergeCell ref="BO17:BR17"/>
    <mergeCell ref="CB17:CE17"/>
    <mergeCell ref="BS17:BW17"/>
    <mergeCell ref="BX17:CA17"/>
    <mergeCell ref="W17:AA17"/>
    <mergeCell ref="AU17:AX17"/>
    <mergeCell ref="CN17:CQ17"/>
    <mergeCell ref="BK15:BN15"/>
    <mergeCell ref="BG15:BJ15"/>
    <mergeCell ref="AY15:BB15"/>
    <mergeCell ref="CJ17:CM17"/>
    <mergeCell ref="CN15:CQ15"/>
    <mergeCell ref="E16:FK16"/>
    <mergeCell ref="EZ17:FE17"/>
    <mergeCell ref="ER15:EY15"/>
    <mergeCell ref="BO15:BR15"/>
    <mergeCell ref="CF15:CI15"/>
    <mergeCell ref="EZ15:FE15"/>
    <mergeCell ref="DP15:DS15"/>
    <mergeCell ref="DT15:DX15"/>
    <mergeCell ref="CB15:CE15"/>
    <mergeCell ref="EN15:EQ15"/>
    <mergeCell ref="BX15:CA15"/>
    <mergeCell ref="ER18:EY18"/>
    <mergeCell ref="EI18:EM18"/>
    <mergeCell ref="FF17:FK17"/>
    <mergeCell ref="DL15:DO15"/>
    <mergeCell ref="FF15:FK15"/>
    <mergeCell ref="EI17:EM17"/>
    <mergeCell ref="EI15:EM15"/>
    <mergeCell ref="EN17:EQ17"/>
    <mergeCell ref="EN20:EQ20"/>
    <mergeCell ref="ER20:EY20"/>
    <mergeCell ref="DP17:DS17"/>
    <mergeCell ref="DT17:DX17"/>
    <mergeCell ref="DL17:DO17"/>
    <mergeCell ref="DY17:EA17"/>
    <mergeCell ref="DY15:EC15"/>
    <mergeCell ref="ED15:EH15"/>
    <mergeCell ref="ER19:EY19"/>
    <mergeCell ref="FM17:FP17"/>
    <mergeCell ref="ER17:EY17"/>
    <mergeCell ref="FM19:FP19"/>
    <mergeCell ref="FM18:FP18"/>
    <mergeCell ref="EZ18:FE21"/>
    <mergeCell ref="FF18:FK21"/>
    <mergeCell ref="ED18:EH21"/>
    <mergeCell ref="FM21:FP21"/>
    <mergeCell ref="R18:V18"/>
    <mergeCell ref="BO21:BR21"/>
    <mergeCell ref="BG21:BJ21"/>
    <mergeCell ref="DP19:DS19"/>
    <mergeCell ref="DG18:DK18"/>
    <mergeCell ref="DL18:DO18"/>
    <mergeCell ref="CW18:DA18"/>
    <mergeCell ref="CF18:CI18"/>
    <mergeCell ref="CN18:CQ18"/>
    <mergeCell ref="FM20:FP20"/>
    <mergeCell ref="EN18:EQ18"/>
    <mergeCell ref="EI21:EM21"/>
    <mergeCell ref="EN21:EQ21"/>
    <mergeCell ref="EN19:EQ19"/>
    <mergeCell ref="EI19:EM19"/>
    <mergeCell ref="ER21:EY21"/>
    <mergeCell ref="ED17:EH17"/>
    <mergeCell ref="BC20:BF20"/>
    <mergeCell ref="BG20:BJ20"/>
    <mergeCell ref="EI20:EM20"/>
    <mergeCell ref="BG19:BJ19"/>
    <mergeCell ref="BC19:BF19"/>
    <mergeCell ref="BC18:BF18"/>
    <mergeCell ref="BG18:BJ18"/>
    <mergeCell ref="W19:AA19"/>
    <mergeCell ref="AB18:AF18"/>
    <mergeCell ref="AB20:AF20"/>
    <mergeCell ref="AB19:AF19"/>
    <mergeCell ref="BK18:BN18"/>
    <mergeCell ref="BS18:BW18"/>
    <mergeCell ref="BK19:BN19"/>
    <mergeCell ref="CB20:CE20"/>
    <mergeCell ref="BX20:CA20"/>
    <mergeCell ref="CJ20:CM20"/>
    <mergeCell ref="CF19:CI19"/>
    <mergeCell ref="CF20:CI20"/>
    <mergeCell ref="CJ18:CM18"/>
    <mergeCell ref="CJ19:CM19"/>
    <mergeCell ref="DY18:EC21"/>
    <mergeCell ref="AB17:AF17"/>
    <mergeCell ref="A18:D21"/>
    <mergeCell ref="L19:Q19"/>
    <mergeCell ref="R19:V19"/>
    <mergeCell ref="R20:V20"/>
    <mergeCell ref="E18:K21"/>
    <mergeCell ref="L18:Q18"/>
    <mergeCell ref="AY18:BB18"/>
    <mergeCell ref="AG18:AK18"/>
    <mergeCell ref="AQ18:AT18"/>
    <mergeCell ref="AU18:AX18"/>
    <mergeCell ref="AL18:AP18"/>
    <mergeCell ref="W18:AA18"/>
    <mergeCell ref="AQ21:AT21"/>
    <mergeCell ref="AQ19:AT19"/>
    <mergeCell ref="AG20:AK20"/>
    <mergeCell ref="AL19:AP19"/>
    <mergeCell ref="AG19:AK19"/>
    <mergeCell ref="AL20:AP20"/>
    <mergeCell ref="AQ20:AT20"/>
    <mergeCell ref="W20:AA20"/>
    <mergeCell ref="L20:Q20"/>
    <mergeCell ref="L22:Q22"/>
    <mergeCell ref="R22:V22"/>
    <mergeCell ref="AB21:AF21"/>
    <mergeCell ref="AG21:AK21"/>
    <mergeCell ref="W21:AA21"/>
    <mergeCell ref="L21:Q21"/>
    <mergeCell ref="R21:V21"/>
    <mergeCell ref="W22:AA22"/>
    <mergeCell ref="AL21:AP21"/>
    <mergeCell ref="AB22:AF22"/>
    <mergeCell ref="AG22:AK22"/>
    <mergeCell ref="AY19:BB19"/>
    <mergeCell ref="AU19:AX19"/>
    <mergeCell ref="AU20:AX20"/>
    <mergeCell ref="AY20:BB20"/>
    <mergeCell ref="AU21:AX21"/>
    <mergeCell ref="AL22:AP22"/>
    <mergeCell ref="AQ22:AT22"/>
    <mergeCell ref="AU22:AX22"/>
    <mergeCell ref="BO18:BR18"/>
    <mergeCell ref="BS19:BW19"/>
    <mergeCell ref="BO19:BR19"/>
    <mergeCell ref="BO20:BR20"/>
    <mergeCell ref="BX18:CA18"/>
    <mergeCell ref="CB19:CE19"/>
    <mergeCell ref="BS20:BW20"/>
    <mergeCell ref="AY22:BB22"/>
    <mergeCell ref="BC22:BF22"/>
    <mergeCell ref="AY21:BB21"/>
    <mergeCell ref="BC21:BF21"/>
    <mergeCell ref="DT19:DX19"/>
    <mergeCell ref="DT18:DX18"/>
    <mergeCell ref="DP18:DS18"/>
    <mergeCell ref="CJ22:CM22"/>
    <mergeCell ref="BX22:CA22"/>
    <mergeCell ref="CB22:CE22"/>
    <mergeCell ref="CJ21:CM21"/>
    <mergeCell ref="CF22:CI22"/>
    <mergeCell ref="CF21:CI21"/>
    <mergeCell ref="DG19:DK19"/>
    <mergeCell ref="CR21:CV21"/>
    <mergeCell ref="CW21:DA21"/>
    <mergeCell ref="CW19:DA19"/>
    <mergeCell ref="CB18:CE18"/>
    <mergeCell ref="CB21:CE21"/>
    <mergeCell ref="BX21:CA21"/>
    <mergeCell ref="BX19:CA19"/>
    <mergeCell ref="DB18:DF18"/>
    <mergeCell ref="CR19:CV19"/>
    <mergeCell ref="CN19:CQ19"/>
    <mergeCell ref="CR18:CV18"/>
    <mergeCell ref="DB19:DF19"/>
    <mergeCell ref="DP20:DS20"/>
    <mergeCell ref="DB20:DF20"/>
    <mergeCell ref="CR20:CV20"/>
    <mergeCell ref="DB21:DF21"/>
    <mergeCell ref="DP21:DS21"/>
    <mergeCell ref="DG21:DK21"/>
    <mergeCell ref="CW20:DA20"/>
    <mergeCell ref="DG20:DK20"/>
    <mergeCell ref="DL19:DO19"/>
    <mergeCell ref="DT20:DX20"/>
    <mergeCell ref="DT21:DX21"/>
    <mergeCell ref="DL21:DO21"/>
    <mergeCell ref="DL20:DO20"/>
    <mergeCell ref="BK23:BN23"/>
    <mergeCell ref="BC23:BF23"/>
    <mergeCell ref="BG23:BJ23"/>
    <mergeCell ref="BS23:BW23"/>
    <mergeCell ref="DT22:DX22"/>
    <mergeCell ref="CN21:CQ21"/>
    <mergeCell ref="DB22:DF22"/>
    <mergeCell ref="DG22:DK22"/>
    <mergeCell ref="DL22:DO22"/>
    <mergeCell ref="CN22:CQ22"/>
    <mergeCell ref="CN20:CQ20"/>
    <mergeCell ref="BS22:BW22"/>
    <mergeCell ref="BS21:BW21"/>
    <mergeCell ref="BG22:BJ22"/>
    <mergeCell ref="BK22:BN22"/>
    <mergeCell ref="BK21:BN21"/>
    <mergeCell ref="BK20:BN20"/>
    <mergeCell ref="DP23:DS23"/>
    <mergeCell ref="DT23:DX23"/>
    <mergeCell ref="ED23:EH23"/>
    <mergeCell ref="DG23:DK23"/>
    <mergeCell ref="DY23:EA23"/>
    <mergeCell ref="CN23:CQ23"/>
    <mergeCell ref="DB24:DF24"/>
    <mergeCell ref="DP22:DS22"/>
    <mergeCell ref="AU24:AX24"/>
    <mergeCell ref="DB23:DF23"/>
    <mergeCell ref="DL23:DO23"/>
    <mergeCell ref="BO22:BR22"/>
    <mergeCell ref="CR22:CV22"/>
    <mergeCell ref="CW22:DA22"/>
    <mergeCell ref="CB23:CE23"/>
    <mergeCell ref="CR23:CV23"/>
    <mergeCell ref="CW23:DA23"/>
    <mergeCell ref="AU23:AX23"/>
    <mergeCell ref="AY24:BB24"/>
    <mergeCell ref="BG24:BJ24"/>
    <mergeCell ref="BO24:BR24"/>
    <mergeCell ref="BC24:BF24"/>
    <mergeCell ref="DG24:DK24"/>
    <mergeCell ref="DL24:DO24"/>
    <mergeCell ref="EN22:EQ22"/>
    <mergeCell ref="ER22:EY22"/>
    <mergeCell ref="ER23:EY23"/>
    <mergeCell ref="FF23:FK23"/>
    <mergeCell ref="DY22:EA22"/>
    <mergeCell ref="EZ22:FE22"/>
    <mergeCell ref="EI22:EM22"/>
    <mergeCell ref="FF22:FK22"/>
    <mergeCell ref="ED22:EH22"/>
    <mergeCell ref="EN23:EQ23"/>
    <mergeCell ref="EZ23:FE23"/>
    <mergeCell ref="EI23:EM23"/>
    <mergeCell ref="FM23:FP23"/>
    <mergeCell ref="FM22:FP22"/>
    <mergeCell ref="BO23:BR23"/>
    <mergeCell ref="A22:B22"/>
    <mergeCell ref="AG24:AK24"/>
    <mergeCell ref="AQ23:AT23"/>
    <mergeCell ref="AB23:AF23"/>
    <mergeCell ref="AL23:AP23"/>
    <mergeCell ref="AG23:AK23"/>
    <mergeCell ref="AQ24:AT24"/>
    <mergeCell ref="AL24:AP24"/>
    <mergeCell ref="A24:B24"/>
    <mergeCell ref="AB24:AF24"/>
    <mergeCell ref="L23:Q23"/>
    <mergeCell ref="R23:V23"/>
    <mergeCell ref="W23:AA23"/>
    <mergeCell ref="L24:Q24"/>
    <mergeCell ref="R24:V24"/>
    <mergeCell ref="W24:AA24"/>
    <mergeCell ref="CB24:CE24"/>
    <mergeCell ref="CF24:CI24"/>
    <mergeCell ref="A23:B23"/>
    <mergeCell ref="AY23:BB23"/>
    <mergeCell ref="FM24:FP24"/>
    <mergeCell ref="CJ23:CM23"/>
    <mergeCell ref="BX23:CA23"/>
    <mergeCell ref="CJ24:CM24"/>
    <mergeCell ref="CF23:CI23"/>
    <mergeCell ref="CR26:CV26"/>
    <mergeCell ref="CW25:DA25"/>
    <mergeCell ref="CW26:DA26"/>
    <mergeCell ref="CR25:CV25"/>
    <mergeCell ref="CN24:CQ24"/>
    <mergeCell ref="BX26:CA26"/>
    <mergeCell ref="CN26:CQ26"/>
    <mergeCell ref="BX24:CA24"/>
    <mergeCell ref="CW24:DA24"/>
    <mergeCell ref="CR24:CV24"/>
    <mergeCell ref="FM25:FP25"/>
    <mergeCell ref="FF25:FK26"/>
    <mergeCell ref="DP26:DS26"/>
    <mergeCell ref="FM26:FP26"/>
    <mergeCell ref="ER26:EY26"/>
    <mergeCell ref="ED25:EH26"/>
    <mergeCell ref="DG25:DK25"/>
    <mergeCell ref="CN25:CQ25"/>
    <mergeCell ref="DB26:DF26"/>
    <mergeCell ref="EZ26:FE26"/>
    <mergeCell ref="DT26:DX26"/>
    <mergeCell ref="ER25:EY25"/>
    <mergeCell ref="DY25:EA26"/>
    <mergeCell ref="EZ25:FE25"/>
    <mergeCell ref="EN25:EQ25"/>
    <mergeCell ref="DT25:DX25"/>
    <mergeCell ref="DG26:DK26"/>
    <mergeCell ref="EN26:EQ26"/>
    <mergeCell ref="EI26:EM26"/>
    <mergeCell ref="DP25:DS25"/>
    <mergeCell ref="EI25:EM25"/>
    <mergeCell ref="DL26:DO26"/>
    <mergeCell ref="DL25:DO25"/>
    <mergeCell ref="CF25:CI25"/>
    <mergeCell ref="CB25:CE25"/>
    <mergeCell ref="CB26:CE26"/>
    <mergeCell ref="BK25:BN25"/>
    <mergeCell ref="BO26:BR26"/>
    <mergeCell ref="BG26:BJ26"/>
    <mergeCell ref="BG25:BJ25"/>
    <mergeCell ref="CF26:CI26"/>
    <mergeCell ref="FF24:FK24"/>
    <mergeCell ref="EN24:EQ24"/>
    <mergeCell ref="ER24:EY24"/>
    <mergeCell ref="EZ24:FE24"/>
    <mergeCell ref="DB25:DF25"/>
    <mergeCell ref="DP24:DS24"/>
    <mergeCell ref="ED24:EH24"/>
    <mergeCell ref="DT24:DX24"/>
    <mergeCell ref="EI24:EM24"/>
    <mergeCell ref="DY24:EA24"/>
    <mergeCell ref="CJ25:CM25"/>
    <mergeCell ref="CJ26:CM26"/>
    <mergeCell ref="BX25:CA25"/>
    <mergeCell ref="BK24:BN24"/>
    <mergeCell ref="BS24:BW24"/>
    <mergeCell ref="A30:D30"/>
    <mergeCell ref="BS27:BW27"/>
    <mergeCell ref="AL30:AP30"/>
    <mergeCell ref="AG30:AK30"/>
    <mergeCell ref="AB30:AF30"/>
    <mergeCell ref="L26:Q26"/>
    <mergeCell ref="BO25:BR25"/>
    <mergeCell ref="BK26:BN26"/>
    <mergeCell ref="BS25:BW25"/>
    <mergeCell ref="BS26:BW26"/>
    <mergeCell ref="BC25:BF25"/>
    <mergeCell ref="BC26:BF26"/>
    <mergeCell ref="AY25:BB25"/>
    <mergeCell ref="AG26:AK26"/>
    <mergeCell ref="AG25:AK25"/>
    <mergeCell ref="AL25:AP25"/>
    <mergeCell ref="AQ25:AT25"/>
    <mergeCell ref="AQ26:AT26"/>
    <mergeCell ref="AL26:AP26"/>
    <mergeCell ref="AU26:AX26"/>
    <mergeCell ref="AU25:AX25"/>
    <mergeCell ref="AY26:BB26"/>
    <mergeCell ref="A25:B26"/>
    <mergeCell ref="R25:V25"/>
    <mergeCell ref="AB26:AF26"/>
    <mergeCell ref="W25:AA25"/>
    <mergeCell ref="AB25:AF25"/>
    <mergeCell ref="W26:AA26"/>
    <mergeCell ref="R26:V26"/>
    <mergeCell ref="E25:E26"/>
    <mergeCell ref="L25:Q25"/>
    <mergeCell ref="L30:Q30"/>
    <mergeCell ref="BS30:BW30"/>
    <mergeCell ref="AB27:AF27"/>
    <mergeCell ref="FM27:FP27"/>
    <mergeCell ref="A32:CJ32"/>
    <mergeCell ref="AQ30:AT30"/>
    <mergeCell ref="AU30:AX30"/>
    <mergeCell ref="AY30:BB30"/>
    <mergeCell ref="BC30:BF30"/>
    <mergeCell ref="BK30:BN30"/>
    <mergeCell ref="BG30:BJ30"/>
    <mergeCell ref="W30:AA30"/>
    <mergeCell ref="CJ30:CM30"/>
    <mergeCell ref="CR27:CV27"/>
    <mergeCell ref="BX27:CA27"/>
    <mergeCell ref="DL27:DO27"/>
    <mergeCell ref="BG27:BJ27"/>
    <mergeCell ref="BK27:BN27"/>
    <mergeCell ref="DY27:EA27"/>
    <mergeCell ref="R30:V30"/>
    <mergeCell ref="A27:B27"/>
    <mergeCell ref="W27:AA27"/>
    <mergeCell ref="BO30:BR30"/>
    <mergeCell ref="EI30:EM30"/>
    <mergeCell ref="AL27:AP27"/>
    <mergeCell ref="AQ27:AT27"/>
    <mergeCell ref="AG27:AK27"/>
    <mergeCell ref="R27:V27"/>
    <mergeCell ref="L27:Q27"/>
    <mergeCell ref="EI27:EM27"/>
    <mergeCell ref="FF27:FK27"/>
    <mergeCell ref="CR30:CV30"/>
    <mergeCell ref="DG27:DK27"/>
    <mergeCell ref="CB27:CE27"/>
    <mergeCell ref="CN27:CQ27"/>
    <mergeCell ref="CJ27:CM27"/>
    <mergeCell ref="ED27:EH27"/>
    <mergeCell ref="DB27:DF27"/>
    <mergeCell ref="DT27:DX27"/>
    <mergeCell ref="CB30:CE30"/>
    <mergeCell ref="CF30:CI30"/>
    <mergeCell ref="DP27:DS27"/>
    <mergeCell ref="CW27:DA27"/>
    <mergeCell ref="BC27:BF27"/>
    <mergeCell ref="E29:FK29"/>
    <mergeCell ref="CF27:CI27"/>
    <mergeCell ref="BO27:BR27"/>
    <mergeCell ref="E30:K30"/>
    <mergeCell ref="AU27:AX27"/>
    <mergeCell ref="AY27:BB27"/>
    <mergeCell ref="EN27:EQ27"/>
    <mergeCell ref="ER27:EY27"/>
    <mergeCell ref="EZ27:FE27"/>
    <mergeCell ref="FF30:FK30"/>
    <mergeCell ref="EZ30:FE30"/>
    <mergeCell ref="ER30:EY30"/>
    <mergeCell ref="EN30:EQ30"/>
    <mergeCell ref="BX30:CA30"/>
    <mergeCell ref="CW30:DA30"/>
    <mergeCell ref="DT30:DX30"/>
    <mergeCell ref="DY30:EC30"/>
    <mergeCell ref="DB30:DF30"/>
    <mergeCell ref="DL30:DO30"/>
    <mergeCell ref="ED30:EH30"/>
    <mergeCell ref="DG30:DK30"/>
    <mergeCell ref="DP30:DS30"/>
    <mergeCell ref="CN30:CQ30"/>
  </mergeCells>
  <phoneticPr fontId="252" type="noConversion"/>
  <hyperlinks>
    <hyperlink ref="E1" location="Главная!A1" display="Переход на главную страницу"/>
  </hyperlinks>
  <pageMargins left="0.39370078740157483" right="0.31496062992125984" top="0.78740157480314965" bottom="0.39370078740157483" header="0.19685039370078741" footer="0.19685039370078741"/>
  <pageSetup paperSize="9" scale="5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O10"/>
  <sheetViews>
    <sheetView workbookViewId="0">
      <selection activeCell="A11" sqref="A11"/>
    </sheetView>
  </sheetViews>
  <sheetFormatPr defaultRowHeight="14.25"/>
  <cols>
    <col min="1" max="1" width="6.5703125" style="319" customWidth="1"/>
    <col min="2" max="5" width="9.140625" style="319"/>
    <col min="6" max="6" width="14.28515625" style="319" customWidth="1"/>
    <col min="7" max="16384" width="9.140625" style="319"/>
  </cols>
  <sheetData>
    <row r="1" spans="2:15" ht="15.75">
      <c r="B1" s="79" t="s">
        <v>724</v>
      </c>
      <c r="O1" s="319" t="s">
        <v>968</v>
      </c>
    </row>
    <row r="5" spans="2:15">
      <c r="B5" s="319" t="s">
        <v>969</v>
      </c>
    </row>
    <row r="7" spans="2:15">
      <c r="B7" s="319" t="s">
        <v>970</v>
      </c>
      <c r="F7" s="319" t="s">
        <v>971</v>
      </c>
    </row>
    <row r="8" spans="2:15">
      <c r="B8" s="319" t="s">
        <v>972</v>
      </c>
      <c r="F8" s="319" t="s">
        <v>973</v>
      </c>
    </row>
    <row r="9" spans="2:15">
      <c r="B9" s="319" t="s">
        <v>974</v>
      </c>
      <c r="F9" s="319" t="s">
        <v>971</v>
      </c>
    </row>
    <row r="10" spans="2:15">
      <c r="B10" s="319" t="s">
        <v>975</v>
      </c>
      <c r="F10" s="319" t="s">
        <v>971</v>
      </c>
    </row>
  </sheetData>
  <phoneticPr fontId="0" type="noConversion"/>
  <hyperlinks>
    <hyperlink ref="B1" location="Главная!A1" display="Переход на главную страницу"/>
  </hyperlinks>
  <pageMargins left="0.47244094488188981" right="0.47244094488188981"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dimension ref="A1:A3"/>
  <sheetViews>
    <sheetView workbookViewId="0">
      <selection activeCell="A11" sqref="A11"/>
    </sheetView>
  </sheetViews>
  <sheetFormatPr defaultRowHeight="15"/>
  <sheetData>
    <row r="1" spans="1:1" ht="15.75">
      <c r="A1" s="79" t="s">
        <v>724</v>
      </c>
    </row>
    <row r="3" spans="1:1">
      <c r="A3" s="319" t="s">
        <v>976</v>
      </c>
    </row>
  </sheetData>
  <phoneticPr fontId="0" type="noConversion"/>
  <hyperlinks>
    <hyperlink ref="A1" location="Главная!A1" display="Переход на главную страницу"/>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F101"/>
  <sheetViews>
    <sheetView topLeftCell="A78" workbookViewId="0">
      <selection activeCell="A103" sqref="A103"/>
    </sheetView>
  </sheetViews>
  <sheetFormatPr defaultRowHeight="14.25"/>
  <cols>
    <col min="1" max="1" width="30.7109375" style="319" customWidth="1"/>
    <col min="2" max="3" width="17.5703125" style="319" customWidth="1"/>
    <col min="4" max="4" width="11.28515625" style="319" customWidth="1"/>
    <col min="5" max="5" width="9.140625" style="319"/>
    <col min="6" max="6" width="15.140625" style="319" customWidth="1"/>
    <col min="7" max="16384" width="9.140625" style="319"/>
  </cols>
  <sheetData>
    <row r="1" spans="1:6" ht="15.75">
      <c r="A1" s="79" t="s">
        <v>724</v>
      </c>
      <c r="D1" s="319" t="s">
        <v>977</v>
      </c>
    </row>
    <row r="3" spans="1:6" ht="29.25" customHeight="1">
      <c r="A3" s="1736" t="s">
        <v>978</v>
      </c>
      <c r="B3" s="1736"/>
      <c r="C3" s="1736"/>
      <c r="D3" s="1736"/>
      <c r="E3" s="1736"/>
      <c r="F3" s="1736"/>
    </row>
    <row r="4" spans="1:6" ht="28.5" customHeight="1">
      <c r="A4" s="1736" t="s">
        <v>979</v>
      </c>
      <c r="B4" s="1736"/>
      <c r="C4" s="1736"/>
      <c r="D4" s="1736"/>
      <c r="E4" s="1736"/>
      <c r="F4" s="1736"/>
    </row>
    <row r="6" spans="1:6" ht="40.5" customHeight="1">
      <c r="A6" s="1731" t="s">
        <v>980</v>
      </c>
      <c r="B6" s="1731"/>
      <c r="C6" s="1731"/>
    </row>
    <row r="7" spans="1:6" ht="15" thickBot="1"/>
    <row r="8" spans="1:6" s="327" customFormat="1" ht="30.75" thickBot="1">
      <c r="A8" s="346" t="s">
        <v>981</v>
      </c>
      <c r="B8" s="347" t="s">
        <v>982</v>
      </c>
      <c r="C8" s="348" t="s">
        <v>983</v>
      </c>
    </row>
    <row r="9" spans="1:6" ht="15">
      <c r="A9" s="349" t="s">
        <v>984</v>
      </c>
      <c r="B9" s="350" t="s">
        <v>985</v>
      </c>
      <c r="C9" s="351" t="s">
        <v>986</v>
      </c>
    </row>
    <row r="10" spans="1:6" s="327" customFormat="1" ht="30">
      <c r="A10" s="352" t="s">
        <v>987</v>
      </c>
      <c r="B10" s="353" t="s">
        <v>988</v>
      </c>
      <c r="C10" s="354" t="s">
        <v>989</v>
      </c>
    </row>
    <row r="11" spans="1:6" ht="15">
      <c r="A11" s="355" t="s">
        <v>984</v>
      </c>
      <c r="B11" s="356" t="s">
        <v>989</v>
      </c>
      <c r="C11" s="354" t="s">
        <v>990</v>
      </c>
    </row>
    <row r="12" spans="1:6" s="327" customFormat="1" ht="15">
      <c r="A12" s="352" t="s">
        <v>991</v>
      </c>
      <c r="B12" s="357" t="s">
        <v>992</v>
      </c>
      <c r="C12" s="354" t="s">
        <v>993</v>
      </c>
    </row>
    <row r="13" spans="1:6" s="327" customFormat="1" ht="15">
      <c r="A13" s="358" t="s">
        <v>994</v>
      </c>
      <c r="B13" s="359" t="s">
        <v>995</v>
      </c>
      <c r="C13" s="360" t="s">
        <v>996</v>
      </c>
    </row>
    <row r="14" spans="1:6" ht="30.75" thickBot="1">
      <c r="A14" s="361" t="s">
        <v>997</v>
      </c>
      <c r="B14" s="362" t="s">
        <v>990</v>
      </c>
      <c r="C14" s="363" t="s">
        <v>998</v>
      </c>
    </row>
    <row r="16" spans="1:6">
      <c r="A16" s="364" t="s">
        <v>999</v>
      </c>
    </row>
    <row r="18" spans="1:3" ht="40.5" customHeight="1">
      <c r="A18" s="1731" t="s">
        <v>1000</v>
      </c>
      <c r="B18" s="1731"/>
      <c r="C18" s="1731"/>
    </row>
    <row r="19" spans="1:3" ht="15" thickBot="1"/>
    <row r="20" spans="1:3" ht="30.75" thickBot="1">
      <c r="A20" s="346" t="s">
        <v>981</v>
      </c>
      <c r="B20" s="347" t="s">
        <v>982</v>
      </c>
      <c r="C20" s="348" t="s">
        <v>983</v>
      </c>
    </row>
    <row r="21" spans="1:3" ht="30">
      <c r="A21" s="352" t="s">
        <v>1001</v>
      </c>
      <c r="B21" s="353" t="s">
        <v>1002</v>
      </c>
      <c r="C21" s="354" t="s">
        <v>1003</v>
      </c>
    </row>
    <row r="22" spans="1:3" ht="30.75" thickBot="1">
      <c r="A22" s="361" t="s">
        <v>987</v>
      </c>
      <c r="B22" s="365" t="s">
        <v>1004</v>
      </c>
      <c r="C22" s="363" t="s">
        <v>1005</v>
      </c>
    </row>
    <row r="24" spans="1:3">
      <c r="A24" s="364" t="s">
        <v>999</v>
      </c>
    </row>
    <row r="26" spans="1:3" ht="45.75" customHeight="1">
      <c r="A26" s="1731" t="s">
        <v>2934</v>
      </c>
      <c r="B26" s="1731"/>
      <c r="C26" s="1731"/>
    </row>
    <row r="27" spans="1:3" ht="15" thickBot="1"/>
    <row r="28" spans="1:3" ht="30.75" thickBot="1">
      <c r="A28" s="346" t="s">
        <v>981</v>
      </c>
      <c r="B28" s="347" t="s">
        <v>982</v>
      </c>
      <c r="C28" s="348" t="s">
        <v>983</v>
      </c>
    </row>
    <row r="29" spans="1:3" ht="15">
      <c r="A29" s="352" t="s">
        <v>2935</v>
      </c>
      <c r="B29" s="353" t="s">
        <v>2936</v>
      </c>
      <c r="C29" s="354" t="s">
        <v>2937</v>
      </c>
    </row>
    <row r="30" spans="1:3" ht="15">
      <c r="A30" s="352" t="s">
        <v>2938</v>
      </c>
      <c r="B30" s="353" t="s">
        <v>2939</v>
      </c>
      <c r="C30" s="354" t="s">
        <v>2940</v>
      </c>
    </row>
    <row r="31" spans="1:3" ht="15">
      <c r="A31" s="352" t="s">
        <v>991</v>
      </c>
      <c r="B31" s="353" t="s">
        <v>2941</v>
      </c>
      <c r="C31" s="354" t="s">
        <v>4863</v>
      </c>
    </row>
    <row r="32" spans="1:3" ht="15.75" thickBot="1">
      <c r="A32" s="366" t="s">
        <v>994</v>
      </c>
      <c r="B32" s="367" t="s">
        <v>4864</v>
      </c>
      <c r="C32" s="368" t="s">
        <v>4865</v>
      </c>
    </row>
    <row r="34" spans="1:4">
      <c r="A34" s="364" t="s">
        <v>999</v>
      </c>
    </row>
    <row r="36" spans="1:4" ht="45.75" customHeight="1">
      <c r="A36" s="1731" t="s">
        <v>4866</v>
      </c>
      <c r="B36" s="1731"/>
      <c r="C36" s="1731"/>
    </row>
    <row r="37" spans="1:4" ht="15" thickBot="1"/>
    <row r="38" spans="1:4" ht="30.75" thickBot="1">
      <c r="A38" s="346" t="s">
        <v>981</v>
      </c>
      <c r="B38" s="347" t="s">
        <v>982</v>
      </c>
      <c r="C38" s="348" t="s">
        <v>983</v>
      </c>
    </row>
    <row r="39" spans="1:4" ht="30">
      <c r="A39" s="369" t="s">
        <v>4867</v>
      </c>
      <c r="B39" s="370" t="s">
        <v>4868</v>
      </c>
      <c r="C39" s="371" t="s">
        <v>4869</v>
      </c>
    </row>
    <row r="40" spans="1:4" ht="30">
      <c r="A40" s="352" t="s">
        <v>987</v>
      </c>
      <c r="B40" s="353" t="s">
        <v>4870</v>
      </c>
      <c r="C40" s="354" t="s">
        <v>4871</v>
      </c>
    </row>
    <row r="41" spans="1:4" ht="30">
      <c r="A41" s="352" t="s">
        <v>1001</v>
      </c>
      <c r="B41" s="353" t="s">
        <v>4872</v>
      </c>
      <c r="C41" s="354" t="s">
        <v>3026</v>
      </c>
    </row>
    <row r="42" spans="1:4" ht="15.75" thickBot="1">
      <c r="A42" s="366" t="s">
        <v>994</v>
      </c>
      <c r="B42" s="367" t="s">
        <v>3027</v>
      </c>
      <c r="C42" s="368" t="s">
        <v>3028</v>
      </c>
    </row>
    <row r="44" spans="1:4">
      <c r="A44" s="364" t="s">
        <v>999</v>
      </c>
    </row>
    <row r="46" spans="1:4" ht="45.75" customHeight="1">
      <c r="A46" s="1731" t="s">
        <v>3029</v>
      </c>
      <c r="B46" s="1731"/>
      <c r="C46" s="1731"/>
    </row>
    <row r="47" spans="1:4" ht="15" thickBot="1"/>
    <row r="48" spans="1:4" ht="30.75" thickBot="1">
      <c r="A48" s="346" t="s">
        <v>981</v>
      </c>
      <c r="B48" s="347" t="s">
        <v>982</v>
      </c>
      <c r="C48" s="347" t="s">
        <v>983</v>
      </c>
      <c r="D48" s="372" t="s">
        <v>3030</v>
      </c>
    </row>
    <row r="49" spans="1:4" ht="15">
      <c r="A49" s="373"/>
      <c r="B49" s="374" t="s">
        <v>3031</v>
      </c>
      <c r="C49" s="374" t="s">
        <v>3031</v>
      </c>
      <c r="D49" s="375" t="s">
        <v>1471</v>
      </c>
    </row>
    <row r="50" spans="1:4" ht="15">
      <c r="A50" s="376"/>
      <c r="B50" s="377" t="s">
        <v>3031</v>
      </c>
      <c r="C50" s="377" t="s">
        <v>3031</v>
      </c>
      <c r="D50" s="378" t="s">
        <v>1472</v>
      </c>
    </row>
    <row r="51" spans="1:4" ht="15">
      <c r="A51" s="376"/>
      <c r="B51" s="377" t="s">
        <v>3031</v>
      </c>
      <c r="C51" s="377" t="s">
        <v>3031</v>
      </c>
      <c r="D51" s="378" t="s">
        <v>1473</v>
      </c>
    </row>
    <row r="52" spans="1:4" ht="15">
      <c r="A52" s="376"/>
      <c r="B52" s="377" t="s">
        <v>3031</v>
      </c>
      <c r="C52" s="377" t="s">
        <v>3031</v>
      </c>
      <c r="D52" s="378" t="s">
        <v>1474</v>
      </c>
    </row>
    <row r="53" spans="1:4" ht="15">
      <c r="A53" s="376"/>
      <c r="B53" s="377" t="s">
        <v>3031</v>
      </c>
      <c r="C53" s="377" t="s">
        <v>3031</v>
      </c>
      <c r="D53" s="378" t="s">
        <v>1475</v>
      </c>
    </row>
    <row r="54" spans="1:4" ht="30">
      <c r="A54" s="352" t="s">
        <v>987</v>
      </c>
      <c r="B54" s="353" t="s">
        <v>3032</v>
      </c>
      <c r="C54" s="353" t="s">
        <v>3033</v>
      </c>
      <c r="D54" s="1734" t="s">
        <v>1476</v>
      </c>
    </row>
    <row r="55" spans="1:4" ht="30">
      <c r="A55" s="352" t="s">
        <v>1001</v>
      </c>
      <c r="B55" s="353" t="s">
        <v>3034</v>
      </c>
      <c r="C55" s="353" t="s">
        <v>3035</v>
      </c>
      <c r="D55" s="1735"/>
    </row>
    <row r="56" spans="1:4" ht="15">
      <c r="A56" s="352"/>
      <c r="B56" s="377" t="s">
        <v>3031</v>
      </c>
      <c r="C56" s="377" t="s">
        <v>3031</v>
      </c>
      <c r="D56" s="378" t="s">
        <v>1477</v>
      </c>
    </row>
    <row r="57" spans="1:4" ht="15">
      <c r="A57" s="352" t="s">
        <v>991</v>
      </c>
      <c r="B57" s="353" t="s">
        <v>3036</v>
      </c>
      <c r="C57" s="353" t="s">
        <v>3037</v>
      </c>
      <c r="D57" s="378" t="s">
        <v>1478</v>
      </c>
    </row>
    <row r="58" spans="1:4" ht="15">
      <c r="A58" s="352"/>
      <c r="B58" s="377" t="s">
        <v>3031</v>
      </c>
      <c r="C58" s="377" t="s">
        <v>3031</v>
      </c>
      <c r="D58" s="378" t="s">
        <v>1479</v>
      </c>
    </row>
    <row r="59" spans="1:4" ht="15">
      <c r="A59" s="352" t="s">
        <v>994</v>
      </c>
      <c r="B59" s="353" t="s">
        <v>3038</v>
      </c>
      <c r="C59" s="353" t="s">
        <v>3039</v>
      </c>
      <c r="D59" s="378" t="s">
        <v>1480</v>
      </c>
    </row>
    <row r="60" spans="1:4" ht="15">
      <c r="A60" s="352"/>
      <c r="B60" s="377" t="s">
        <v>3031</v>
      </c>
      <c r="C60" s="377" t="s">
        <v>3031</v>
      </c>
      <c r="D60" s="378" t="s">
        <v>1481</v>
      </c>
    </row>
    <row r="61" spans="1:4" ht="15.75" thickBot="1">
      <c r="A61" s="361"/>
      <c r="B61" s="365" t="s">
        <v>3031</v>
      </c>
      <c r="C61" s="365" t="s">
        <v>3031</v>
      </c>
      <c r="D61" s="379" t="s">
        <v>4522</v>
      </c>
    </row>
    <row r="63" spans="1:4">
      <c r="A63" s="364" t="s">
        <v>999</v>
      </c>
    </row>
    <row r="65" spans="1:4" ht="45.75" customHeight="1">
      <c r="A65" s="1731" t="s">
        <v>3040</v>
      </c>
      <c r="B65" s="1731"/>
      <c r="C65" s="1731"/>
    </row>
    <row r="66" spans="1:4" ht="15" thickBot="1"/>
    <row r="67" spans="1:4" ht="30.75" thickBot="1">
      <c r="A67" s="346" t="s">
        <v>981</v>
      </c>
      <c r="B67" s="347" t="s">
        <v>982</v>
      </c>
      <c r="C67" s="347" t="s">
        <v>983</v>
      </c>
      <c r="D67" s="372" t="s">
        <v>3030</v>
      </c>
    </row>
    <row r="68" spans="1:4" ht="15">
      <c r="A68" s="373"/>
      <c r="B68" s="374" t="s">
        <v>3031</v>
      </c>
      <c r="C68" s="374" t="s">
        <v>3031</v>
      </c>
      <c r="D68" s="375" t="s">
        <v>1471</v>
      </c>
    </row>
    <row r="69" spans="1:4" ht="15">
      <c r="A69" s="376"/>
      <c r="B69" s="377" t="s">
        <v>3031</v>
      </c>
      <c r="C69" s="377" t="s">
        <v>3031</v>
      </c>
      <c r="D69" s="378" t="s">
        <v>1472</v>
      </c>
    </row>
    <row r="70" spans="1:4" ht="15">
      <c r="A70" s="376"/>
      <c r="B70" s="377" t="s">
        <v>3031</v>
      </c>
      <c r="C70" s="377" t="s">
        <v>3031</v>
      </c>
      <c r="D70" s="378" t="s">
        <v>1473</v>
      </c>
    </row>
    <row r="71" spans="1:4" ht="15">
      <c r="A71" s="376"/>
      <c r="B71" s="377" t="s">
        <v>3031</v>
      </c>
      <c r="C71" s="377" t="s">
        <v>3031</v>
      </c>
      <c r="D71" s="378" t="s">
        <v>1474</v>
      </c>
    </row>
    <row r="72" spans="1:4" ht="15">
      <c r="A72" s="376"/>
      <c r="B72" s="377" t="s">
        <v>3031</v>
      </c>
      <c r="C72" s="377" t="s">
        <v>3031</v>
      </c>
      <c r="D72" s="378" t="s">
        <v>1475</v>
      </c>
    </row>
    <row r="73" spans="1:4" ht="15">
      <c r="A73" s="352" t="s">
        <v>994</v>
      </c>
      <c r="B73" s="353" t="s">
        <v>3041</v>
      </c>
      <c r="C73" s="353" t="s">
        <v>3042</v>
      </c>
      <c r="D73" s="380" t="s">
        <v>1476</v>
      </c>
    </row>
    <row r="74" spans="1:4" ht="15">
      <c r="A74" s="352" t="s">
        <v>2935</v>
      </c>
      <c r="B74" s="353" t="s">
        <v>3043</v>
      </c>
      <c r="C74" s="353" t="s">
        <v>3044</v>
      </c>
      <c r="D74" s="1732" t="s">
        <v>1477</v>
      </c>
    </row>
    <row r="75" spans="1:4" ht="15">
      <c r="A75" s="352" t="s">
        <v>2938</v>
      </c>
      <c r="B75" s="353" t="s">
        <v>3045</v>
      </c>
      <c r="C75" s="353" t="s">
        <v>3046</v>
      </c>
      <c r="D75" s="1733"/>
    </row>
    <row r="76" spans="1:4" ht="15">
      <c r="A76" s="352"/>
      <c r="B76" s="377" t="s">
        <v>3031</v>
      </c>
      <c r="C76" s="377" t="s">
        <v>3031</v>
      </c>
      <c r="D76" s="378" t="s">
        <v>1478</v>
      </c>
    </row>
    <row r="77" spans="1:4" ht="15">
      <c r="A77" s="352" t="s">
        <v>991</v>
      </c>
      <c r="B77" s="353" t="s">
        <v>3047</v>
      </c>
      <c r="C77" s="353" t="s">
        <v>3048</v>
      </c>
      <c r="D77" s="378" t="s">
        <v>1479</v>
      </c>
    </row>
    <row r="78" spans="1:4" ht="15">
      <c r="A78" s="352"/>
      <c r="B78" s="377" t="s">
        <v>3031</v>
      </c>
      <c r="C78" s="377" t="s">
        <v>3031</v>
      </c>
      <c r="D78" s="378" t="s">
        <v>1480</v>
      </c>
    </row>
    <row r="79" spans="1:4" ht="15">
      <c r="A79" s="352"/>
      <c r="B79" s="377" t="s">
        <v>3031</v>
      </c>
      <c r="C79" s="377" t="s">
        <v>3031</v>
      </c>
      <c r="D79" s="378" t="s">
        <v>1481</v>
      </c>
    </row>
    <row r="80" spans="1:4" ht="15.75" thickBot="1">
      <c r="A80" s="361"/>
      <c r="B80" s="365" t="s">
        <v>3031</v>
      </c>
      <c r="C80" s="365" t="s">
        <v>3031</v>
      </c>
      <c r="D80" s="379" t="s">
        <v>4522</v>
      </c>
    </row>
    <row r="82" spans="1:4">
      <c r="A82" s="364" t="s">
        <v>999</v>
      </c>
    </row>
    <row r="84" spans="1:4" ht="45.75" customHeight="1">
      <c r="A84" s="1731" t="s">
        <v>3049</v>
      </c>
      <c r="B84" s="1731"/>
      <c r="C84" s="1731"/>
    </row>
    <row r="85" spans="1:4" ht="15" thickBot="1"/>
    <row r="86" spans="1:4" ht="30.75" thickBot="1">
      <c r="A86" s="346" t="s">
        <v>981</v>
      </c>
      <c r="B86" s="347" t="s">
        <v>982</v>
      </c>
      <c r="C86" s="347" t="s">
        <v>983</v>
      </c>
      <c r="D86" s="372" t="s">
        <v>3030</v>
      </c>
    </row>
    <row r="87" spans="1:4" ht="15">
      <c r="A87" s="373"/>
      <c r="B87" s="374" t="s">
        <v>3031</v>
      </c>
      <c r="C87" s="374" t="s">
        <v>3031</v>
      </c>
      <c r="D87" s="375" t="s">
        <v>1471</v>
      </c>
    </row>
    <row r="88" spans="1:4" ht="15">
      <c r="A88" s="376"/>
      <c r="B88" s="377" t="s">
        <v>3031</v>
      </c>
      <c r="C88" s="377" t="s">
        <v>3031</v>
      </c>
      <c r="D88" s="378" t="s">
        <v>1472</v>
      </c>
    </row>
    <row r="89" spans="1:4" ht="15">
      <c r="A89" s="376"/>
      <c r="B89" s="377" t="s">
        <v>3031</v>
      </c>
      <c r="C89" s="377" t="s">
        <v>3031</v>
      </c>
      <c r="D89" s="378" t="s">
        <v>1473</v>
      </c>
    </row>
    <row r="90" spans="1:4" ht="15">
      <c r="A90" s="376"/>
      <c r="B90" s="377" t="s">
        <v>3031</v>
      </c>
      <c r="C90" s="377" t="s">
        <v>3031</v>
      </c>
      <c r="D90" s="378" t="s">
        <v>1474</v>
      </c>
    </row>
    <row r="91" spans="1:4" ht="15">
      <c r="A91" s="352" t="s">
        <v>991</v>
      </c>
      <c r="B91" s="353" t="s">
        <v>2944</v>
      </c>
      <c r="C91" s="353" t="s">
        <v>2945</v>
      </c>
      <c r="D91" s="1734" t="s">
        <v>1475</v>
      </c>
    </row>
    <row r="92" spans="1:4" ht="15">
      <c r="A92" s="352" t="s">
        <v>2935</v>
      </c>
      <c r="B92" s="353" t="s">
        <v>2946</v>
      </c>
      <c r="C92" s="353" t="s">
        <v>2947</v>
      </c>
      <c r="D92" s="1735"/>
    </row>
    <row r="93" spans="1:4" ht="15">
      <c r="A93" s="352" t="s">
        <v>2938</v>
      </c>
      <c r="B93" s="353" t="s">
        <v>2948</v>
      </c>
      <c r="C93" s="353" t="s">
        <v>2949</v>
      </c>
      <c r="D93" s="380" t="s">
        <v>1476</v>
      </c>
    </row>
    <row r="94" spans="1:4" ht="15">
      <c r="A94" s="352"/>
      <c r="B94" s="377" t="s">
        <v>3031</v>
      </c>
      <c r="C94" s="377" t="s">
        <v>3031</v>
      </c>
      <c r="D94" s="378" t="s">
        <v>1477</v>
      </c>
    </row>
    <row r="95" spans="1:4" ht="15">
      <c r="A95" s="352"/>
      <c r="B95" s="377" t="s">
        <v>3031</v>
      </c>
      <c r="C95" s="377" t="s">
        <v>3031</v>
      </c>
      <c r="D95" s="378" t="s">
        <v>1478</v>
      </c>
    </row>
    <row r="96" spans="1:4" ht="15">
      <c r="A96" s="352" t="s">
        <v>994</v>
      </c>
      <c r="B96" s="353" t="s">
        <v>2950</v>
      </c>
      <c r="C96" s="353" t="s">
        <v>2951</v>
      </c>
      <c r="D96" s="378" t="s">
        <v>1479</v>
      </c>
    </row>
    <row r="97" spans="1:4" ht="15">
      <c r="A97" s="352"/>
      <c r="B97" s="377" t="s">
        <v>3031</v>
      </c>
      <c r="C97" s="377" t="s">
        <v>3031</v>
      </c>
      <c r="D97" s="378" t="s">
        <v>1480</v>
      </c>
    </row>
    <row r="98" spans="1:4" ht="15">
      <c r="A98" s="352"/>
      <c r="B98" s="377" t="s">
        <v>3031</v>
      </c>
      <c r="C98" s="377" t="s">
        <v>3031</v>
      </c>
      <c r="D98" s="378" t="s">
        <v>1481</v>
      </c>
    </row>
    <row r="99" spans="1:4" ht="15.75" thickBot="1">
      <c r="A99" s="361"/>
      <c r="B99" s="365" t="s">
        <v>3031</v>
      </c>
      <c r="C99" s="365" t="s">
        <v>3031</v>
      </c>
      <c r="D99" s="379" t="s">
        <v>4522</v>
      </c>
    </row>
    <row r="101" spans="1:4">
      <c r="A101" s="364" t="s">
        <v>999</v>
      </c>
    </row>
  </sheetData>
  <mergeCells count="12">
    <mergeCell ref="A3:F3"/>
    <mergeCell ref="A4:F4"/>
    <mergeCell ref="A6:C6"/>
    <mergeCell ref="A18:C18"/>
    <mergeCell ref="A26:C26"/>
    <mergeCell ref="A65:C65"/>
    <mergeCell ref="D74:D75"/>
    <mergeCell ref="D91:D92"/>
    <mergeCell ref="A84:C84"/>
    <mergeCell ref="A36:C36"/>
    <mergeCell ref="A46:C46"/>
    <mergeCell ref="D54:D55"/>
  </mergeCells>
  <phoneticPr fontId="0" type="noConversion"/>
  <hyperlinks>
    <hyperlink ref="A1" location="Главная!A1" display="Переход на главную страницу"/>
  </hyperlinks>
  <pageMargins left="0.7" right="0.7" top="0.75" bottom="0.75" header="0.3" footer="0.3"/>
  <pageSetup paperSize="9" scale="38" orientation="portrait" r:id="rId1"/>
</worksheet>
</file>

<file path=xl/worksheets/sheet16.xml><?xml version="1.0" encoding="utf-8"?>
<worksheet xmlns="http://schemas.openxmlformats.org/spreadsheetml/2006/main" xmlns:r="http://schemas.openxmlformats.org/officeDocument/2006/relationships">
  <dimension ref="A1:L193"/>
  <sheetViews>
    <sheetView view="pageBreakPreview" topLeftCell="A170" zoomScaleNormal="100" zoomScaleSheetLayoutView="100" workbookViewId="0">
      <selection activeCell="A195" sqref="A195"/>
    </sheetView>
  </sheetViews>
  <sheetFormatPr defaultRowHeight="15"/>
  <cols>
    <col min="1" max="1" width="4.5703125" customWidth="1"/>
    <col min="2" max="2" width="16.5703125" customWidth="1"/>
    <col min="3" max="12" width="11.140625" customWidth="1"/>
  </cols>
  <sheetData>
    <row r="1" spans="1:12" ht="15.75">
      <c r="B1" s="79" t="s">
        <v>724</v>
      </c>
    </row>
    <row r="2" spans="1:12">
      <c r="A2" s="381"/>
      <c r="B2" s="381"/>
      <c r="C2" s="381"/>
      <c r="D2" s="381"/>
      <c r="E2" s="381"/>
      <c r="F2" s="381"/>
      <c r="G2" s="381"/>
      <c r="H2" s="381"/>
      <c r="I2" s="381"/>
      <c r="J2" s="381"/>
      <c r="K2" s="381"/>
      <c r="L2" s="382" t="s">
        <v>3050</v>
      </c>
    </row>
    <row r="3" spans="1:12">
      <c r="A3" s="381"/>
      <c r="B3" s="381"/>
      <c r="C3" s="381"/>
      <c r="D3" s="381"/>
      <c r="E3" s="381"/>
      <c r="F3" s="381"/>
      <c r="G3" s="381"/>
      <c r="H3" s="381"/>
      <c r="I3" s="381"/>
      <c r="J3" s="381"/>
      <c r="K3" s="381"/>
      <c r="L3" s="381"/>
    </row>
    <row r="4" spans="1:12">
      <c r="A4" s="1746" t="s">
        <v>3051</v>
      </c>
      <c r="B4" s="1746"/>
      <c r="C4" s="1746"/>
      <c r="D4" s="1746"/>
      <c r="E4" s="1746"/>
      <c r="F4" s="1746"/>
      <c r="G4" s="1746"/>
      <c r="H4" s="1746"/>
      <c r="I4" s="1746"/>
      <c r="J4" s="1746"/>
      <c r="K4" s="1746"/>
      <c r="L4" s="1746"/>
    </row>
    <row r="5" spans="1:12" ht="15.75" thickBot="1">
      <c r="A5" s="381"/>
      <c r="B5" s="381"/>
      <c r="C5" s="381"/>
      <c r="D5" s="381"/>
      <c r="E5" s="381"/>
      <c r="F5" s="381"/>
      <c r="G5" s="381"/>
      <c r="H5" s="381"/>
      <c r="I5" s="381"/>
      <c r="J5" s="381"/>
      <c r="K5" s="381"/>
      <c r="L5" s="381"/>
    </row>
    <row r="6" spans="1:12">
      <c r="A6" s="1741" t="s">
        <v>3544</v>
      </c>
      <c r="B6" s="1747" t="s">
        <v>3052</v>
      </c>
      <c r="C6" s="1743" t="s">
        <v>3053</v>
      </c>
      <c r="D6" s="1740"/>
      <c r="E6" s="1744" t="s">
        <v>3054</v>
      </c>
      <c r="F6" s="1745"/>
      <c r="G6" s="1739" t="s">
        <v>3055</v>
      </c>
      <c r="H6" s="1740"/>
      <c r="I6" s="1739" t="s">
        <v>3056</v>
      </c>
      <c r="J6" s="1740"/>
      <c r="K6" s="1739" t="s">
        <v>3057</v>
      </c>
      <c r="L6" s="1749"/>
    </row>
    <row r="7" spans="1:12" ht="24.75" thickBot="1">
      <c r="A7" s="1742"/>
      <c r="B7" s="1748"/>
      <c r="C7" s="383" t="s">
        <v>3058</v>
      </c>
      <c r="D7" s="384" t="s">
        <v>3059</v>
      </c>
      <c r="E7" s="383" t="s">
        <v>3058</v>
      </c>
      <c r="F7" s="384" t="s">
        <v>3059</v>
      </c>
      <c r="G7" s="383" t="s">
        <v>3058</v>
      </c>
      <c r="H7" s="384" t="s">
        <v>3059</v>
      </c>
      <c r="I7" s="383" t="s">
        <v>3058</v>
      </c>
      <c r="J7" s="384" t="s">
        <v>3059</v>
      </c>
      <c r="K7" s="383" t="s">
        <v>3058</v>
      </c>
      <c r="L7" s="385" t="s">
        <v>3059</v>
      </c>
    </row>
    <row r="8" spans="1:12">
      <c r="A8" s="386">
        <v>1</v>
      </c>
      <c r="B8" s="387" t="s">
        <v>3060</v>
      </c>
      <c r="C8" s="388">
        <v>0</v>
      </c>
      <c r="D8" s="388">
        <v>0</v>
      </c>
      <c r="E8" s="388">
        <v>1</v>
      </c>
      <c r="F8" s="388">
        <v>13.8</v>
      </c>
      <c r="G8" s="389">
        <v>0</v>
      </c>
      <c r="H8" s="389">
        <v>0</v>
      </c>
      <c r="I8" s="389">
        <f>C8+E8+G8</f>
        <v>1</v>
      </c>
      <c r="J8" s="389">
        <f>D8+F8+H8</f>
        <v>13.8</v>
      </c>
      <c r="K8" s="389">
        <f>I8</f>
        <v>1</v>
      </c>
      <c r="L8" s="390">
        <f>J8</f>
        <v>13.8</v>
      </c>
    </row>
    <row r="9" spans="1:12">
      <c r="A9" s="391">
        <v>2</v>
      </c>
      <c r="B9" s="392" t="s">
        <v>3061</v>
      </c>
      <c r="C9" s="393">
        <v>0</v>
      </c>
      <c r="D9" s="393">
        <v>0</v>
      </c>
      <c r="E9" s="393">
        <v>0</v>
      </c>
      <c r="F9" s="393">
        <v>0</v>
      </c>
      <c r="G9" s="394">
        <v>0</v>
      </c>
      <c r="H9" s="394">
        <v>0</v>
      </c>
      <c r="I9" s="389">
        <f>C9+E9+G9</f>
        <v>0</v>
      </c>
      <c r="J9" s="389">
        <f>D9+F9+H9</f>
        <v>0</v>
      </c>
      <c r="K9" s="389">
        <f>I9</f>
        <v>0</v>
      </c>
      <c r="L9" s="390">
        <f>J9</f>
        <v>0</v>
      </c>
    </row>
    <row r="10" spans="1:12" ht="15.75" thickBot="1">
      <c r="A10" s="1750" t="s">
        <v>3062</v>
      </c>
      <c r="B10" s="1751"/>
      <c r="C10" s="395">
        <f t="shared" ref="C10:L10" si="0">SUM(C8:C9)</f>
        <v>0</v>
      </c>
      <c r="D10" s="395">
        <f t="shared" si="0"/>
        <v>0</v>
      </c>
      <c r="E10" s="395">
        <f t="shared" si="0"/>
        <v>1</v>
      </c>
      <c r="F10" s="395">
        <f t="shared" si="0"/>
        <v>13.8</v>
      </c>
      <c r="G10" s="395">
        <f t="shared" si="0"/>
        <v>0</v>
      </c>
      <c r="H10" s="395">
        <f t="shared" si="0"/>
        <v>0</v>
      </c>
      <c r="I10" s="395">
        <f t="shared" si="0"/>
        <v>1</v>
      </c>
      <c r="J10" s="395">
        <f t="shared" si="0"/>
        <v>13.8</v>
      </c>
      <c r="K10" s="395">
        <f t="shared" si="0"/>
        <v>1</v>
      </c>
      <c r="L10" s="396">
        <f t="shared" si="0"/>
        <v>13.8</v>
      </c>
    </row>
    <row r="11" spans="1:12">
      <c r="A11" s="1741" t="s">
        <v>3544</v>
      </c>
      <c r="B11" s="1747" t="s">
        <v>3052</v>
      </c>
      <c r="C11" s="1743" t="s">
        <v>3063</v>
      </c>
      <c r="D11" s="1740"/>
      <c r="E11" s="1744" t="s">
        <v>3064</v>
      </c>
      <c r="F11" s="1745"/>
      <c r="G11" s="1739" t="s">
        <v>3065</v>
      </c>
      <c r="H11" s="1740"/>
      <c r="I11" s="1739" t="s">
        <v>3066</v>
      </c>
      <c r="J11" s="1740"/>
      <c r="K11" s="1739" t="s">
        <v>3057</v>
      </c>
      <c r="L11" s="1749"/>
    </row>
    <row r="12" spans="1:12" ht="24.75" thickBot="1">
      <c r="A12" s="1742"/>
      <c r="B12" s="1748"/>
      <c r="C12" s="383" t="s">
        <v>3058</v>
      </c>
      <c r="D12" s="384" t="s">
        <v>3059</v>
      </c>
      <c r="E12" s="383" t="s">
        <v>3058</v>
      </c>
      <c r="F12" s="384" t="s">
        <v>3059</v>
      </c>
      <c r="G12" s="383" t="s">
        <v>3058</v>
      </c>
      <c r="H12" s="384" t="s">
        <v>3059</v>
      </c>
      <c r="I12" s="383" t="s">
        <v>3058</v>
      </c>
      <c r="J12" s="384" t="s">
        <v>3059</v>
      </c>
      <c r="K12" s="383" t="s">
        <v>3058</v>
      </c>
      <c r="L12" s="385" t="s">
        <v>3059</v>
      </c>
    </row>
    <row r="13" spans="1:12">
      <c r="A13" s="386">
        <v>1</v>
      </c>
      <c r="B13" s="387" t="s">
        <v>3060</v>
      </c>
      <c r="C13" s="388">
        <v>0</v>
      </c>
      <c r="D13" s="388">
        <v>0</v>
      </c>
      <c r="E13" s="388">
        <v>0</v>
      </c>
      <c r="F13" s="388">
        <v>0</v>
      </c>
      <c r="G13" s="389">
        <v>0</v>
      </c>
      <c r="H13" s="389">
        <v>0</v>
      </c>
      <c r="I13" s="389">
        <f>C13+E13+G13</f>
        <v>0</v>
      </c>
      <c r="J13" s="389">
        <f>D13+F13+H13</f>
        <v>0</v>
      </c>
      <c r="K13" s="389">
        <f>K8+I13</f>
        <v>1</v>
      </c>
      <c r="L13" s="397">
        <f>L8+J13</f>
        <v>13.8</v>
      </c>
    </row>
    <row r="14" spans="1:12">
      <c r="A14" s="391">
        <v>2</v>
      </c>
      <c r="B14" s="392" t="s">
        <v>3061</v>
      </c>
      <c r="C14" s="393">
        <v>0</v>
      </c>
      <c r="D14" s="393">
        <v>0</v>
      </c>
      <c r="E14" s="393">
        <v>0</v>
      </c>
      <c r="F14" s="393">
        <v>0</v>
      </c>
      <c r="G14" s="394">
        <v>0</v>
      </c>
      <c r="H14" s="394">
        <v>0</v>
      </c>
      <c r="I14" s="389">
        <f>C14+E14+G14</f>
        <v>0</v>
      </c>
      <c r="J14" s="389">
        <f>D14+F14+H14</f>
        <v>0</v>
      </c>
      <c r="K14" s="394">
        <f>K9+I14</f>
        <v>0</v>
      </c>
      <c r="L14" s="398">
        <f>L9+J14</f>
        <v>0</v>
      </c>
    </row>
    <row r="15" spans="1:12" ht="15.75" thickBot="1">
      <c r="A15" s="1750" t="s">
        <v>3062</v>
      </c>
      <c r="B15" s="1751"/>
      <c r="C15" s="395">
        <f t="shared" ref="C15:L15" si="1">SUM(C13:C14)</f>
        <v>0</v>
      </c>
      <c r="D15" s="395">
        <f t="shared" si="1"/>
        <v>0</v>
      </c>
      <c r="E15" s="395">
        <f t="shared" si="1"/>
        <v>0</v>
      </c>
      <c r="F15" s="395">
        <f t="shared" si="1"/>
        <v>0</v>
      </c>
      <c r="G15" s="395">
        <f t="shared" si="1"/>
        <v>0</v>
      </c>
      <c r="H15" s="395">
        <f t="shared" si="1"/>
        <v>0</v>
      </c>
      <c r="I15" s="395">
        <f t="shared" si="1"/>
        <v>0</v>
      </c>
      <c r="J15" s="395">
        <f t="shared" si="1"/>
        <v>0</v>
      </c>
      <c r="K15" s="395">
        <f t="shared" si="1"/>
        <v>1</v>
      </c>
      <c r="L15" s="396">
        <f t="shared" si="1"/>
        <v>13.8</v>
      </c>
    </row>
    <row r="16" spans="1:12">
      <c r="A16" s="1741" t="s">
        <v>3544</v>
      </c>
      <c r="B16" s="1747" t="s">
        <v>3052</v>
      </c>
      <c r="C16" s="1743" t="s">
        <v>3067</v>
      </c>
      <c r="D16" s="1740"/>
      <c r="E16" s="1744" t="s">
        <v>3068</v>
      </c>
      <c r="F16" s="1745"/>
      <c r="G16" s="1739" t="s">
        <v>3069</v>
      </c>
      <c r="H16" s="1740"/>
      <c r="I16" s="1739" t="s">
        <v>3070</v>
      </c>
      <c r="J16" s="1740"/>
      <c r="K16" s="1739" t="s">
        <v>3057</v>
      </c>
      <c r="L16" s="1749"/>
    </row>
    <row r="17" spans="1:12" ht="24.75" thickBot="1">
      <c r="A17" s="1742"/>
      <c r="B17" s="1748"/>
      <c r="C17" s="383" t="s">
        <v>3058</v>
      </c>
      <c r="D17" s="384" t="s">
        <v>3059</v>
      </c>
      <c r="E17" s="383" t="s">
        <v>3058</v>
      </c>
      <c r="F17" s="384" t="s">
        <v>3059</v>
      </c>
      <c r="G17" s="383" t="s">
        <v>3058</v>
      </c>
      <c r="H17" s="384" t="s">
        <v>3059</v>
      </c>
      <c r="I17" s="383" t="s">
        <v>3058</v>
      </c>
      <c r="J17" s="384" t="s">
        <v>3059</v>
      </c>
      <c r="K17" s="383" t="s">
        <v>3058</v>
      </c>
      <c r="L17" s="385" t="s">
        <v>3059</v>
      </c>
    </row>
    <row r="18" spans="1:12">
      <c r="A18" s="386">
        <v>1</v>
      </c>
      <c r="B18" s="387" t="s">
        <v>3060</v>
      </c>
      <c r="C18" s="388">
        <v>0</v>
      </c>
      <c r="D18" s="388">
        <v>0</v>
      </c>
      <c r="E18" s="388">
        <v>3</v>
      </c>
      <c r="F18" s="388">
        <v>4950</v>
      </c>
      <c r="G18" s="389">
        <v>0</v>
      </c>
      <c r="H18" s="389">
        <v>0</v>
      </c>
      <c r="I18" s="389">
        <f>C18+E18+G18</f>
        <v>3</v>
      </c>
      <c r="J18" s="389">
        <f>D18+F18+H18</f>
        <v>4950</v>
      </c>
      <c r="K18" s="389">
        <f>K13+I18</f>
        <v>4</v>
      </c>
      <c r="L18" s="397">
        <f>L13+J18</f>
        <v>4963.8</v>
      </c>
    </row>
    <row r="19" spans="1:12">
      <c r="A19" s="391">
        <v>2</v>
      </c>
      <c r="B19" s="392" t="s">
        <v>3061</v>
      </c>
      <c r="C19" s="393">
        <v>0</v>
      </c>
      <c r="D19" s="393">
        <v>0</v>
      </c>
      <c r="E19" s="393">
        <v>0</v>
      </c>
      <c r="F19" s="393">
        <v>0</v>
      </c>
      <c r="G19" s="394">
        <v>0</v>
      </c>
      <c r="H19" s="394">
        <v>0</v>
      </c>
      <c r="I19" s="389">
        <f>C19+E19+G19</f>
        <v>0</v>
      </c>
      <c r="J19" s="389">
        <f>D19+F19+H19</f>
        <v>0</v>
      </c>
      <c r="K19" s="394">
        <f>K14+I19</f>
        <v>0</v>
      </c>
      <c r="L19" s="398">
        <f>L14+J19</f>
        <v>0</v>
      </c>
    </row>
    <row r="20" spans="1:12" ht="15.75" thickBot="1">
      <c r="A20" s="1750" t="s">
        <v>3062</v>
      </c>
      <c r="B20" s="1751"/>
      <c r="C20" s="395">
        <f t="shared" ref="C20:L20" si="2">SUM(C18:C19)</f>
        <v>0</v>
      </c>
      <c r="D20" s="395">
        <f t="shared" si="2"/>
        <v>0</v>
      </c>
      <c r="E20" s="395">
        <f t="shared" si="2"/>
        <v>3</v>
      </c>
      <c r="F20" s="395">
        <f t="shared" si="2"/>
        <v>4950</v>
      </c>
      <c r="G20" s="395">
        <f t="shared" si="2"/>
        <v>0</v>
      </c>
      <c r="H20" s="395">
        <f t="shared" si="2"/>
        <v>0</v>
      </c>
      <c r="I20" s="395">
        <f t="shared" si="2"/>
        <v>3</v>
      </c>
      <c r="J20" s="395">
        <f t="shared" si="2"/>
        <v>4950</v>
      </c>
      <c r="K20" s="395">
        <f t="shared" si="2"/>
        <v>4</v>
      </c>
      <c r="L20" s="396">
        <f t="shared" si="2"/>
        <v>4963.8</v>
      </c>
    </row>
    <row r="21" spans="1:12">
      <c r="A21" s="1741" t="s">
        <v>3544</v>
      </c>
      <c r="B21" s="1747" t="s">
        <v>3052</v>
      </c>
      <c r="C21" s="1743" t="s">
        <v>3071</v>
      </c>
      <c r="D21" s="1740"/>
      <c r="E21" s="1744" t="s">
        <v>3072</v>
      </c>
      <c r="F21" s="1745"/>
      <c r="G21" s="1739" t="s">
        <v>3073</v>
      </c>
      <c r="H21" s="1740"/>
      <c r="I21" s="1739" t="s">
        <v>3074</v>
      </c>
      <c r="J21" s="1740"/>
      <c r="K21" s="1739" t="s">
        <v>3057</v>
      </c>
      <c r="L21" s="1749"/>
    </row>
    <row r="22" spans="1:12" ht="24.75" thickBot="1">
      <c r="A22" s="1742"/>
      <c r="B22" s="1748"/>
      <c r="C22" s="383" t="s">
        <v>3058</v>
      </c>
      <c r="D22" s="384" t="s">
        <v>3059</v>
      </c>
      <c r="E22" s="383" t="s">
        <v>3058</v>
      </c>
      <c r="F22" s="384" t="s">
        <v>3059</v>
      </c>
      <c r="G22" s="383" t="s">
        <v>3058</v>
      </c>
      <c r="H22" s="384" t="s">
        <v>3059</v>
      </c>
      <c r="I22" s="383" t="s">
        <v>3058</v>
      </c>
      <c r="J22" s="384" t="s">
        <v>3059</v>
      </c>
      <c r="K22" s="383" t="s">
        <v>3058</v>
      </c>
      <c r="L22" s="385" t="s">
        <v>3059</v>
      </c>
    </row>
    <row r="23" spans="1:12">
      <c r="A23" s="386">
        <v>1</v>
      </c>
      <c r="B23" s="387" t="s">
        <v>3060</v>
      </c>
      <c r="C23" s="388">
        <v>3</v>
      </c>
      <c r="D23" s="388">
        <v>247</v>
      </c>
      <c r="E23" s="388">
        <v>0</v>
      </c>
      <c r="F23" s="388">
        <v>0</v>
      </c>
      <c r="G23" s="389">
        <v>1</v>
      </c>
      <c r="H23" s="389">
        <v>50</v>
      </c>
      <c r="I23" s="389">
        <f>C23+E23+G23</f>
        <v>4</v>
      </c>
      <c r="J23" s="389">
        <f>D23+F23+H23</f>
        <v>297</v>
      </c>
      <c r="K23" s="389">
        <f>K18+I23</f>
        <v>8</v>
      </c>
      <c r="L23" s="397">
        <f>L18+J23</f>
        <v>5260.8</v>
      </c>
    </row>
    <row r="24" spans="1:12">
      <c r="A24" s="391">
        <v>2</v>
      </c>
      <c r="B24" s="392" t="s">
        <v>3061</v>
      </c>
      <c r="C24" s="393">
        <v>1</v>
      </c>
      <c r="D24" s="393">
        <v>25.8</v>
      </c>
      <c r="E24" s="393">
        <v>0</v>
      </c>
      <c r="F24" s="393">
        <v>0</v>
      </c>
      <c r="G24" s="394">
        <v>1</v>
      </c>
      <c r="H24" s="394">
        <v>30.52</v>
      </c>
      <c r="I24" s="389">
        <f>C24+E24+G24</f>
        <v>2</v>
      </c>
      <c r="J24" s="389">
        <f>D24+F24+H24</f>
        <v>56.32</v>
      </c>
      <c r="K24" s="394">
        <f>K19+I24</f>
        <v>2</v>
      </c>
      <c r="L24" s="398">
        <f>L19+J24</f>
        <v>56.32</v>
      </c>
    </row>
    <row r="25" spans="1:12" ht="15.75" thickBot="1">
      <c r="A25" s="1737" t="s">
        <v>3062</v>
      </c>
      <c r="B25" s="1738"/>
      <c r="C25" s="399">
        <f t="shared" ref="C25:L25" si="3">SUM(C23:C24)</f>
        <v>4</v>
      </c>
      <c r="D25" s="399">
        <f t="shared" si="3"/>
        <v>272.8</v>
      </c>
      <c r="E25" s="399">
        <f t="shared" si="3"/>
        <v>0</v>
      </c>
      <c r="F25" s="399">
        <f t="shared" si="3"/>
        <v>0</v>
      </c>
      <c r="G25" s="399">
        <f t="shared" si="3"/>
        <v>2</v>
      </c>
      <c r="H25" s="399">
        <f t="shared" si="3"/>
        <v>80.52</v>
      </c>
      <c r="I25" s="399">
        <f t="shared" si="3"/>
        <v>6</v>
      </c>
      <c r="J25" s="399">
        <f t="shared" si="3"/>
        <v>353.32</v>
      </c>
      <c r="K25" s="399">
        <f t="shared" si="3"/>
        <v>10</v>
      </c>
      <c r="L25" s="400">
        <f t="shared" si="3"/>
        <v>5317.12</v>
      </c>
    </row>
    <row r="26" spans="1:12">
      <c r="A26" s="381"/>
      <c r="B26" s="381"/>
      <c r="C26" s="381"/>
      <c r="D26" s="381"/>
      <c r="E26" s="381"/>
      <c r="F26" s="381"/>
      <c r="G26" s="381"/>
      <c r="H26" s="381"/>
      <c r="I26" s="381"/>
      <c r="J26" s="381"/>
      <c r="K26" s="381"/>
      <c r="L26" s="381"/>
    </row>
    <row r="27" spans="1:12">
      <c r="A27" s="381"/>
      <c r="B27" s="381"/>
      <c r="C27" s="381"/>
      <c r="D27" s="381"/>
      <c r="E27" s="381"/>
      <c r="F27" s="381"/>
      <c r="G27" s="381"/>
      <c r="H27" s="381"/>
      <c r="I27" s="381"/>
      <c r="J27" s="381"/>
      <c r="K27" s="381"/>
      <c r="L27" s="381"/>
    </row>
    <row r="28" spans="1:12">
      <c r="A28" s="1746" t="s">
        <v>3075</v>
      </c>
      <c r="B28" s="1746"/>
      <c r="C28" s="1746"/>
      <c r="D28" s="1746"/>
      <c r="E28" s="1746"/>
      <c r="F28" s="1746"/>
      <c r="G28" s="1746"/>
      <c r="H28" s="1746"/>
      <c r="I28" s="1746"/>
      <c r="J28" s="1746"/>
      <c r="K28" s="1746"/>
      <c r="L28" s="1746"/>
    </row>
    <row r="29" spans="1:12" ht="15.75" thickBot="1">
      <c r="A29" s="381"/>
      <c r="B29" s="381"/>
      <c r="C29" s="381"/>
      <c r="D29" s="381"/>
      <c r="E29" s="381"/>
      <c r="F29" s="381"/>
      <c r="G29" s="381"/>
      <c r="H29" s="381"/>
      <c r="I29" s="381"/>
      <c r="J29" s="381"/>
      <c r="K29" s="381"/>
      <c r="L29" s="381"/>
    </row>
    <row r="30" spans="1:12">
      <c r="A30" s="1741" t="s">
        <v>3544</v>
      </c>
      <c r="B30" s="1747" t="s">
        <v>3052</v>
      </c>
      <c r="C30" s="1743" t="s">
        <v>3053</v>
      </c>
      <c r="D30" s="1740"/>
      <c r="E30" s="1744" t="s">
        <v>3054</v>
      </c>
      <c r="F30" s="1745"/>
      <c r="G30" s="1739" t="s">
        <v>3055</v>
      </c>
      <c r="H30" s="1740"/>
      <c r="I30" s="1739" t="s">
        <v>3056</v>
      </c>
      <c r="J30" s="1740"/>
      <c r="K30" s="1739" t="s">
        <v>3057</v>
      </c>
      <c r="L30" s="1749"/>
    </row>
    <row r="31" spans="1:12" ht="24.75" thickBot="1">
      <c r="A31" s="1742"/>
      <c r="B31" s="1748"/>
      <c r="C31" s="383" t="s">
        <v>3058</v>
      </c>
      <c r="D31" s="384" t="s">
        <v>3059</v>
      </c>
      <c r="E31" s="383" t="s">
        <v>3058</v>
      </c>
      <c r="F31" s="384" t="s">
        <v>3059</v>
      </c>
      <c r="G31" s="383" t="s">
        <v>3058</v>
      </c>
      <c r="H31" s="384" t="s">
        <v>3059</v>
      </c>
      <c r="I31" s="383" t="s">
        <v>3058</v>
      </c>
      <c r="J31" s="384" t="s">
        <v>3059</v>
      </c>
      <c r="K31" s="383" t="s">
        <v>3058</v>
      </c>
      <c r="L31" s="385" t="s">
        <v>3059</v>
      </c>
    </row>
    <row r="32" spans="1:12">
      <c r="A32" s="386">
        <v>1</v>
      </c>
      <c r="B32" s="387" t="s">
        <v>3060</v>
      </c>
      <c r="C32" s="388">
        <v>1</v>
      </c>
      <c r="D32" s="388">
        <v>400</v>
      </c>
      <c r="E32" s="388">
        <v>1</v>
      </c>
      <c r="F32" s="388">
        <v>425</v>
      </c>
      <c r="G32" s="389">
        <v>1</v>
      </c>
      <c r="H32" s="389">
        <v>695</v>
      </c>
      <c r="I32" s="389">
        <f>C32+E32+G32</f>
        <v>3</v>
      </c>
      <c r="J32" s="389">
        <f>D32+F32+H32</f>
        <v>1520</v>
      </c>
      <c r="K32" s="389">
        <f>I32</f>
        <v>3</v>
      </c>
      <c r="L32" s="390">
        <f>J32</f>
        <v>1520</v>
      </c>
    </row>
    <row r="33" spans="1:12">
      <c r="A33" s="391">
        <v>2</v>
      </c>
      <c r="B33" s="392" t="s">
        <v>3061</v>
      </c>
      <c r="C33" s="393">
        <v>0</v>
      </c>
      <c r="D33" s="393">
        <v>0</v>
      </c>
      <c r="E33" s="393">
        <v>0</v>
      </c>
      <c r="F33" s="393">
        <v>0</v>
      </c>
      <c r="G33" s="394">
        <v>0</v>
      </c>
      <c r="H33" s="394">
        <v>0</v>
      </c>
      <c r="I33" s="389">
        <f>C33+E33+G33</f>
        <v>0</v>
      </c>
      <c r="J33" s="389">
        <f>D33+F33+H33</f>
        <v>0</v>
      </c>
      <c r="K33" s="389">
        <f>I33</f>
        <v>0</v>
      </c>
      <c r="L33" s="390">
        <f>J33</f>
        <v>0</v>
      </c>
    </row>
    <row r="34" spans="1:12" ht="15.75" thickBot="1">
      <c r="A34" s="1750" t="s">
        <v>3062</v>
      </c>
      <c r="B34" s="1751"/>
      <c r="C34" s="395">
        <f t="shared" ref="C34:L34" si="4">SUM(C32:C33)</f>
        <v>1</v>
      </c>
      <c r="D34" s="395">
        <f t="shared" si="4"/>
        <v>400</v>
      </c>
      <c r="E34" s="395">
        <f t="shared" si="4"/>
        <v>1</v>
      </c>
      <c r="F34" s="395">
        <f t="shared" si="4"/>
        <v>425</v>
      </c>
      <c r="G34" s="395">
        <f t="shared" si="4"/>
        <v>1</v>
      </c>
      <c r="H34" s="395">
        <f t="shared" si="4"/>
        <v>695</v>
      </c>
      <c r="I34" s="395">
        <f t="shared" si="4"/>
        <v>3</v>
      </c>
      <c r="J34" s="395">
        <f t="shared" si="4"/>
        <v>1520</v>
      </c>
      <c r="K34" s="395">
        <f t="shared" si="4"/>
        <v>3</v>
      </c>
      <c r="L34" s="396">
        <f t="shared" si="4"/>
        <v>1520</v>
      </c>
    </row>
    <row r="35" spans="1:12">
      <c r="A35" s="1741" t="s">
        <v>3544</v>
      </c>
      <c r="B35" s="1747" t="s">
        <v>3052</v>
      </c>
      <c r="C35" s="1743" t="s">
        <v>3063</v>
      </c>
      <c r="D35" s="1740"/>
      <c r="E35" s="1744" t="s">
        <v>3064</v>
      </c>
      <c r="F35" s="1745"/>
      <c r="G35" s="1739" t="s">
        <v>3065</v>
      </c>
      <c r="H35" s="1740"/>
      <c r="I35" s="1739" t="s">
        <v>3066</v>
      </c>
      <c r="J35" s="1740"/>
      <c r="K35" s="1739" t="s">
        <v>3057</v>
      </c>
      <c r="L35" s="1749"/>
    </row>
    <row r="36" spans="1:12" ht="24.75" thickBot="1">
      <c r="A36" s="1742"/>
      <c r="B36" s="1748"/>
      <c r="C36" s="383" t="s">
        <v>3058</v>
      </c>
      <c r="D36" s="384" t="s">
        <v>3059</v>
      </c>
      <c r="E36" s="383" t="s">
        <v>3058</v>
      </c>
      <c r="F36" s="384" t="s">
        <v>3059</v>
      </c>
      <c r="G36" s="383" t="s">
        <v>3058</v>
      </c>
      <c r="H36" s="384" t="s">
        <v>3059</v>
      </c>
      <c r="I36" s="383" t="s">
        <v>3058</v>
      </c>
      <c r="J36" s="384" t="s">
        <v>3059</v>
      </c>
      <c r="K36" s="383" t="s">
        <v>3058</v>
      </c>
      <c r="L36" s="385" t="s">
        <v>3059</v>
      </c>
    </row>
    <row r="37" spans="1:12">
      <c r="A37" s="386">
        <v>1</v>
      </c>
      <c r="B37" s="387" t="s">
        <v>3060</v>
      </c>
      <c r="C37" s="388">
        <v>0</v>
      </c>
      <c r="D37" s="388">
        <v>0</v>
      </c>
      <c r="E37" s="388">
        <v>0</v>
      </c>
      <c r="F37" s="388">
        <v>0</v>
      </c>
      <c r="G37" s="389">
        <v>6</v>
      </c>
      <c r="H37" s="389">
        <v>290.06</v>
      </c>
      <c r="I37" s="389">
        <f>C37+E37+G37</f>
        <v>6</v>
      </c>
      <c r="J37" s="389">
        <f>D37+F37+H37</f>
        <v>290.06</v>
      </c>
      <c r="K37" s="389">
        <f>K32+I37</f>
        <v>9</v>
      </c>
      <c r="L37" s="397">
        <f>L32+J37</f>
        <v>1810.06</v>
      </c>
    </row>
    <row r="38" spans="1:12">
      <c r="A38" s="391">
        <v>2</v>
      </c>
      <c r="B38" s="392" t="s">
        <v>3061</v>
      </c>
      <c r="C38" s="393">
        <v>0</v>
      </c>
      <c r="D38" s="393">
        <v>0</v>
      </c>
      <c r="E38" s="393">
        <v>0</v>
      </c>
      <c r="F38" s="393">
        <v>0</v>
      </c>
      <c r="G38" s="394">
        <v>1</v>
      </c>
      <c r="H38" s="394">
        <v>3.4</v>
      </c>
      <c r="I38" s="389">
        <f>C38+E38+G38</f>
        <v>1</v>
      </c>
      <c r="J38" s="389">
        <f>D38+F38+H38</f>
        <v>3.4</v>
      </c>
      <c r="K38" s="394">
        <f>K33+I38</f>
        <v>1</v>
      </c>
      <c r="L38" s="398">
        <f>L33+J38</f>
        <v>3.4</v>
      </c>
    </row>
    <row r="39" spans="1:12" ht="15.75" thickBot="1">
      <c r="A39" s="1750" t="s">
        <v>3062</v>
      </c>
      <c r="B39" s="1751"/>
      <c r="C39" s="395">
        <f t="shared" ref="C39:L39" si="5">SUM(C37:C38)</f>
        <v>0</v>
      </c>
      <c r="D39" s="395">
        <f t="shared" si="5"/>
        <v>0</v>
      </c>
      <c r="E39" s="395">
        <f t="shared" si="5"/>
        <v>0</v>
      </c>
      <c r="F39" s="395">
        <f t="shared" si="5"/>
        <v>0</v>
      </c>
      <c r="G39" s="395">
        <f t="shared" si="5"/>
        <v>7</v>
      </c>
      <c r="H39" s="395">
        <f t="shared" si="5"/>
        <v>293.45999999999998</v>
      </c>
      <c r="I39" s="395">
        <f t="shared" si="5"/>
        <v>7</v>
      </c>
      <c r="J39" s="395">
        <f t="shared" si="5"/>
        <v>293.45999999999998</v>
      </c>
      <c r="K39" s="395">
        <f t="shared" si="5"/>
        <v>10</v>
      </c>
      <c r="L39" s="396">
        <f t="shared" si="5"/>
        <v>1813.46</v>
      </c>
    </row>
    <row r="40" spans="1:12">
      <c r="A40" s="1741" t="s">
        <v>3544</v>
      </c>
      <c r="B40" s="1747" t="s">
        <v>3052</v>
      </c>
      <c r="C40" s="1743" t="s">
        <v>3067</v>
      </c>
      <c r="D40" s="1740"/>
      <c r="E40" s="1744" t="s">
        <v>3068</v>
      </c>
      <c r="F40" s="1745"/>
      <c r="G40" s="1739" t="s">
        <v>3069</v>
      </c>
      <c r="H40" s="1740"/>
      <c r="I40" s="1739" t="s">
        <v>3070</v>
      </c>
      <c r="J40" s="1740"/>
      <c r="K40" s="1739" t="s">
        <v>3057</v>
      </c>
      <c r="L40" s="1749"/>
    </row>
    <row r="41" spans="1:12" ht="24.75" thickBot="1">
      <c r="A41" s="1742"/>
      <c r="B41" s="1748"/>
      <c r="C41" s="383" t="s">
        <v>3058</v>
      </c>
      <c r="D41" s="384" t="s">
        <v>3059</v>
      </c>
      <c r="E41" s="383" t="s">
        <v>3058</v>
      </c>
      <c r="F41" s="384" t="s">
        <v>3059</v>
      </c>
      <c r="G41" s="383" t="s">
        <v>3058</v>
      </c>
      <c r="H41" s="384" t="s">
        <v>3059</v>
      </c>
      <c r="I41" s="383" t="s">
        <v>3058</v>
      </c>
      <c r="J41" s="384" t="s">
        <v>3059</v>
      </c>
      <c r="K41" s="383" t="s">
        <v>3058</v>
      </c>
      <c r="L41" s="385" t="s">
        <v>3059</v>
      </c>
    </row>
    <row r="42" spans="1:12">
      <c r="A42" s="386">
        <v>1</v>
      </c>
      <c r="B42" s="387" t="s">
        <v>3060</v>
      </c>
      <c r="C42" s="388">
        <v>1</v>
      </c>
      <c r="D42" s="388">
        <v>301.89999999999998</v>
      </c>
      <c r="E42" s="388">
        <v>1</v>
      </c>
      <c r="F42" s="388">
        <v>595</v>
      </c>
      <c r="G42" s="389">
        <v>0</v>
      </c>
      <c r="H42" s="389">
        <v>0</v>
      </c>
      <c r="I42" s="389">
        <f>C42+E42+G42</f>
        <v>2</v>
      </c>
      <c r="J42" s="389">
        <f>D42+F42+H42</f>
        <v>896.9</v>
      </c>
      <c r="K42" s="389">
        <f>K37+I42</f>
        <v>11</v>
      </c>
      <c r="L42" s="397">
        <f>L37+J42</f>
        <v>2706.96</v>
      </c>
    </row>
    <row r="43" spans="1:12">
      <c r="A43" s="391">
        <v>2</v>
      </c>
      <c r="B43" s="392" t="s">
        <v>3061</v>
      </c>
      <c r="C43" s="393">
        <v>3</v>
      </c>
      <c r="D43" s="393">
        <v>103.65</v>
      </c>
      <c r="E43" s="393">
        <v>0</v>
      </c>
      <c r="F43" s="393">
        <v>0</v>
      </c>
      <c r="G43" s="394">
        <v>0</v>
      </c>
      <c r="H43" s="394">
        <v>0</v>
      </c>
      <c r="I43" s="389">
        <f>C43+E43+G43</f>
        <v>3</v>
      </c>
      <c r="J43" s="389">
        <f>D43+F43+H43</f>
        <v>103.65</v>
      </c>
      <c r="K43" s="394">
        <f>K38+I43</f>
        <v>4</v>
      </c>
      <c r="L43" s="398">
        <f>L38+J43</f>
        <v>107.05000000000001</v>
      </c>
    </row>
    <row r="44" spans="1:12" ht="15.75" thickBot="1">
      <c r="A44" s="1750" t="s">
        <v>3062</v>
      </c>
      <c r="B44" s="1751"/>
      <c r="C44" s="395">
        <f t="shared" ref="C44:L44" si="6">SUM(C42:C43)</f>
        <v>4</v>
      </c>
      <c r="D44" s="395">
        <f t="shared" si="6"/>
        <v>405.54999999999995</v>
      </c>
      <c r="E44" s="395">
        <f t="shared" si="6"/>
        <v>1</v>
      </c>
      <c r="F44" s="395">
        <f t="shared" si="6"/>
        <v>595</v>
      </c>
      <c r="G44" s="395">
        <f t="shared" si="6"/>
        <v>0</v>
      </c>
      <c r="H44" s="395">
        <f t="shared" si="6"/>
        <v>0</v>
      </c>
      <c r="I44" s="395">
        <f t="shared" si="6"/>
        <v>5</v>
      </c>
      <c r="J44" s="395">
        <f t="shared" si="6"/>
        <v>1000.55</v>
      </c>
      <c r="K44" s="395">
        <f t="shared" si="6"/>
        <v>15</v>
      </c>
      <c r="L44" s="396">
        <f t="shared" si="6"/>
        <v>2814.01</v>
      </c>
    </row>
    <row r="45" spans="1:12">
      <c r="A45" s="1741" t="s">
        <v>3544</v>
      </c>
      <c r="B45" s="1747" t="s">
        <v>3052</v>
      </c>
      <c r="C45" s="1743" t="s">
        <v>3071</v>
      </c>
      <c r="D45" s="1740"/>
      <c r="E45" s="1744" t="s">
        <v>3072</v>
      </c>
      <c r="F45" s="1745"/>
      <c r="G45" s="1739" t="s">
        <v>3073</v>
      </c>
      <c r="H45" s="1740"/>
      <c r="I45" s="1739" t="s">
        <v>3074</v>
      </c>
      <c r="J45" s="1740"/>
      <c r="K45" s="1739" t="s">
        <v>3057</v>
      </c>
      <c r="L45" s="1749"/>
    </row>
    <row r="46" spans="1:12" ht="24.75" thickBot="1">
      <c r="A46" s="1742"/>
      <c r="B46" s="1748"/>
      <c r="C46" s="383" t="s">
        <v>3058</v>
      </c>
      <c r="D46" s="384" t="s">
        <v>3059</v>
      </c>
      <c r="E46" s="383" t="s">
        <v>3058</v>
      </c>
      <c r="F46" s="384" t="s">
        <v>3059</v>
      </c>
      <c r="G46" s="383" t="s">
        <v>3058</v>
      </c>
      <c r="H46" s="384" t="s">
        <v>3059</v>
      </c>
      <c r="I46" s="383" t="s">
        <v>3058</v>
      </c>
      <c r="J46" s="384" t="s">
        <v>3059</v>
      </c>
      <c r="K46" s="383" t="s">
        <v>3058</v>
      </c>
      <c r="L46" s="385" t="s">
        <v>3059</v>
      </c>
    </row>
    <row r="47" spans="1:12">
      <c r="A47" s="386">
        <v>1</v>
      </c>
      <c r="B47" s="387" t="s">
        <v>3060</v>
      </c>
      <c r="C47" s="388">
        <v>2</v>
      </c>
      <c r="D47" s="388">
        <v>1786.7</v>
      </c>
      <c r="E47" s="388">
        <v>0</v>
      </c>
      <c r="F47" s="388">
        <v>0</v>
      </c>
      <c r="G47" s="389">
        <v>2</v>
      </c>
      <c r="H47" s="389">
        <v>150</v>
      </c>
      <c r="I47" s="389">
        <f>C47+E47+G47</f>
        <v>4</v>
      </c>
      <c r="J47" s="389">
        <f>D47+F47+H47</f>
        <v>1936.7</v>
      </c>
      <c r="K47" s="389">
        <f>K42+I47</f>
        <v>15</v>
      </c>
      <c r="L47" s="397">
        <f>L42+J47</f>
        <v>4643.66</v>
      </c>
    </row>
    <row r="48" spans="1:12">
      <c r="A48" s="391">
        <v>2</v>
      </c>
      <c r="B48" s="392" t="s">
        <v>3061</v>
      </c>
      <c r="C48" s="393">
        <v>0</v>
      </c>
      <c r="D48" s="393">
        <v>0</v>
      </c>
      <c r="E48" s="393">
        <v>0</v>
      </c>
      <c r="F48" s="393">
        <v>0</v>
      </c>
      <c r="G48" s="394">
        <v>0</v>
      </c>
      <c r="H48" s="394">
        <v>0</v>
      </c>
      <c r="I48" s="389">
        <f>C48+E48+G48</f>
        <v>0</v>
      </c>
      <c r="J48" s="389">
        <f>D48+F48+H48</f>
        <v>0</v>
      </c>
      <c r="K48" s="394">
        <f>K43+I48</f>
        <v>4</v>
      </c>
      <c r="L48" s="398">
        <f>L43+J48</f>
        <v>107.05000000000001</v>
      </c>
    </row>
    <row r="49" spans="1:12" ht="15.75" thickBot="1">
      <c r="A49" s="1737" t="s">
        <v>3062</v>
      </c>
      <c r="B49" s="1738"/>
      <c r="C49" s="399">
        <f t="shared" ref="C49:L49" si="7">SUM(C47:C48)</f>
        <v>2</v>
      </c>
      <c r="D49" s="399">
        <f t="shared" si="7"/>
        <v>1786.7</v>
      </c>
      <c r="E49" s="399">
        <f t="shared" si="7"/>
        <v>0</v>
      </c>
      <c r="F49" s="399">
        <f t="shared" si="7"/>
        <v>0</v>
      </c>
      <c r="G49" s="399">
        <f t="shared" si="7"/>
        <v>2</v>
      </c>
      <c r="H49" s="399">
        <f t="shared" si="7"/>
        <v>150</v>
      </c>
      <c r="I49" s="399">
        <f t="shared" si="7"/>
        <v>4</v>
      </c>
      <c r="J49" s="399">
        <f t="shared" si="7"/>
        <v>1936.7</v>
      </c>
      <c r="K49" s="399">
        <f t="shared" si="7"/>
        <v>19</v>
      </c>
      <c r="L49" s="400">
        <f t="shared" si="7"/>
        <v>4750.71</v>
      </c>
    </row>
    <row r="50" spans="1:12">
      <c r="A50" s="381"/>
      <c r="B50" s="381"/>
      <c r="C50" s="381"/>
      <c r="D50" s="381"/>
      <c r="E50" s="381"/>
      <c r="F50" s="381"/>
      <c r="G50" s="381"/>
      <c r="H50" s="381"/>
      <c r="I50" s="381"/>
      <c r="J50" s="381"/>
      <c r="K50" s="381"/>
      <c r="L50" s="381"/>
    </row>
    <row r="52" spans="1:12">
      <c r="A52" s="1746" t="s">
        <v>3076</v>
      </c>
      <c r="B52" s="1746"/>
      <c r="C52" s="1746"/>
      <c r="D52" s="1746"/>
      <c r="E52" s="1746"/>
      <c r="F52" s="1746"/>
      <c r="G52" s="1746"/>
      <c r="H52" s="1746"/>
      <c r="I52" s="1746"/>
      <c r="J52" s="1746"/>
      <c r="K52" s="1746"/>
      <c r="L52" s="1746"/>
    </row>
    <row r="53" spans="1:12" ht="15.75" thickBot="1">
      <c r="A53" s="381"/>
      <c r="B53" s="381"/>
      <c r="C53" s="381"/>
      <c r="D53" s="381"/>
      <c r="E53" s="381"/>
      <c r="F53" s="381"/>
      <c r="G53" s="381"/>
      <c r="H53" s="381"/>
      <c r="I53" s="381"/>
      <c r="J53" s="381"/>
      <c r="K53" s="381"/>
      <c r="L53" s="381"/>
    </row>
    <row r="54" spans="1:12">
      <c r="A54" s="1741" t="s">
        <v>3544</v>
      </c>
      <c r="B54" s="1747" t="s">
        <v>3052</v>
      </c>
      <c r="C54" s="1743" t="s">
        <v>3053</v>
      </c>
      <c r="D54" s="1740"/>
      <c r="E54" s="1744" t="s">
        <v>3054</v>
      </c>
      <c r="F54" s="1745"/>
      <c r="G54" s="1739" t="s">
        <v>3055</v>
      </c>
      <c r="H54" s="1740"/>
      <c r="I54" s="1739" t="s">
        <v>3056</v>
      </c>
      <c r="J54" s="1740"/>
      <c r="K54" s="1739" t="s">
        <v>3057</v>
      </c>
      <c r="L54" s="1749"/>
    </row>
    <row r="55" spans="1:12" ht="24.75" thickBot="1">
      <c r="A55" s="1742"/>
      <c r="B55" s="1748"/>
      <c r="C55" s="383" t="s">
        <v>3058</v>
      </c>
      <c r="D55" s="384" t="s">
        <v>3059</v>
      </c>
      <c r="E55" s="383" t="s">
        <v>3058</v>
      </c>
      <c r="F55" s="384" t="s">
        <v>3059</v>
      </c>
      <c r="G55" s="383" t="s">
        <v>3058</v>
      </c>
      <c r="H55" s="384" t="s">
        <v>3059</v>
      </c>
      <c r="I55" s="383" t="s">
        <v>3058</v>
      </c>
      <c r="J55" s="384" t="s">
        <v>3059</v>
      </c>
      <c r="K55" s="383" t="s">
        <v>3058</v>
      </c>
      <c r="L55" s="385" t="s">
        <v>3059</v>
      </c>
    </row>
    <row r="56" spans="1:12">
      <c r="A56" s="386">
        <v>1</v>
      </c>
      <c r="B56" s="387" t="s">
        <v>3060</v>
      </c>
      <c r="C56" s="388">
        <v>0</v>
      </c>
      <c r="D56" s="388">
        <v>0</v>
      </c>
      <c r="E56" s="388">
        <v>0</v>
      </c>
      <c r="F56" s="388">
        <v>0</v>
      </c>
      <c r="G56" s="389">
        <v>2</v>
      </c>
      <c r="H56" s="389">
        <v>394</v>
      </c>
      <c r="I56" s="389">
        <f>C56+E56+G56</f>
        <v>2</v>
      </c>
      <c r="J56" s="389">
        <f>D56+F56+H56</f>
        <v>394</v>
      </c>
      <c r="K56" s="389">
        <f>I56</f>
        <v>2</v>
      </c>
      <c r="L56" s="390">
        <f>J56</f>
        <v>394</v>
      </c>
    </row>
    <row r="57" spans="1:12">
      <c r="A57" s="391">
        <v>2</v>
      </c>
      <c r="B57" s="392" t="s">
        <v>3061</v>
      </c>
      <c r="C57" s="393">
        <v>0</v>
      </c>
      <c r="D57" s="393">
        <v>0</v>
      </c>
      <c r="E57" s="393">
        <v>0</v>
      </c>
      <c r="F57" s="393">
        <v>0</v>
      </c>
      <c r="G57" s="394">
        <v>0</v>
      </c>
      <c r="H57" s="394">
        <v>0</v>
      </c>
      <c r="I57" s="389">
        <f>C57+E57+G57</f>
        <v>0</v>
      </c>
      <c r="J57" s="389">
        <f>D57+F57+H57</f>
        <v>0</v>
      </c>
      <c r="K57" s="389">
        <f>I57</f>
        <v>0</v>
      </c>
      <c r="L57" s="390">
        <f>J57</f>
        <v>0</v>
      </c>
    </row>
    <row r="58" spans="1:12" ht="15.75" thickBot="1">
      <c r="A58" s="1750" t="s">
        <v>3062</v>
      </c>
      <c r="B58" s="1751"/>
      <c r="C58" s="395">
        <f t="shared" ref="C58:L58" si="8">SUM(C56:C57)</f>
        <v>0</v>
      </c>
      <c r="D58" s="395">
        <f t="shared" si="8"/>
        <v>0</v>
      </c>
      <c r="E58" s="395">
        <f t="shared" si="8"/>
        <v>0</v>
      </c>
      <c r="F58" s="395">
        <f t="shared" si="8"/>
        <v>0</v>
      </c>
      <c r="G58" s="395">
        <f t="shared" si="8"/>
        <v>2</v>
      </c>
      <c r="H58" s="395">
        <f t="shared" si="8"/>
        <v>394</v>
      </c>
      <c r="I58" s="395">
        <f t="shared" si="8"/>
        <v>2</v>
      </c>
      <c r="J58" s="395">
        <f t="shared" si="8"/>
        <v>394</v>
      </c>
      <c r="K58" s="395">
        <f t="shared" si="8"/>
        <v>2</v>
      </c>
      <c r="L58" s="396">
        <f t="shared" si="8"/>
        <v>394</v>
      </c>
    </row>
    <row r="59" spans="1:12">
      <c r="A59" s="1741" t="s">
        <v>3544</v>
      </c>
      <c r="B59" s="1747" t="s">
        <v>3052</v>
      </c>
      <c r="C59" s="1743" t="s">
        <v>3063</v>
      </c>
      <c r="D59" s="1740"/>
      <c r="E59" s="1744" t="s">
        <v>3064</v>
      </c>
      <c r="F59" s="1745"/>
      <c r="G59" s="1739" t="s">
        <v>3065</v>
      </c>
      <c r="H59" s="1740"/>
      <c r="I59" s="1739" t="s">
        <v>3066</v>
      </c>
      <c r="J59" s="1740"/>
      <c r="K59" s="1739" t="s">
        <v>3057</v>
      </c>
      <c r="L59" s="1749"/>
    </row>
    <row r="60" spans="1:12" ht="24.75" thickBot="1">
      <c r="A60" s="1742"/>
      <c r="B60" s="1748"/>
      <c r="C60" s="383" t="s">
        <v>3058</v>
      </c>
      <c r="D60" s="384" t="s">
        <v>3059</v>
      </c>
      <c r="E60" s="383" t="s">
        <v>3058</v>
      </c>
      <c r="F60" s="384" t="s">
        <v>3059</v>
      </c>
      <c r="G60" s="383" t="s">
        <v>3058</v>
      </c>
      <c r="H60" s="384" t="s">
        <v>3059</v>
      </c>
      <c r="I60" s="383" t="s">
        <v>3058</v>
      </c>
      <c r="J60" s="384" t="s">
        <v>3059</v>
      </c>
      <c r="K60" s="383" t="s">
        <v>3058</v>
      </c>
      <c r="L60" s="385" t="s">
        <v>3059</v>
      </c>
    </row>
    <row r="61" spans="1:12">
      <c r="A61" s="386">
        <v>1</v>
      </c>
      <c r="B61" s="387" t="s">
        <v>3060</v>
      </c>
      <c r="C61" s="388">
        <v>0</v>
      </c>
      <c r="D61" s="388">
        <v>0</v>
      </c>
      <c r="E61" s="388">
        <v>0</v>
      </c>
      <c r="F61" s="388">
        <v>0</v>
      </c>
      <c r="G61" s="389">
        <v>0</v>
      </c>
      <c r="H61" s="389">
        <v>0</v>
      </c>
      <c r="I61" s="389">
        <f>C61+E61+G61</f>
        <v>0</v>
      </c>
      <c r="J61" s="389">
        <f>D61+F61+H61</f>
        <v>0</v>
      </c>
      <c r="K61" s="389">
        <f>K56+I61</f>
        <v>2</v>
      </c>
      <c r="L61" s="397">
        <f>L56+J61</f>
        <v>394</v>
      </c>
    </row>
    <row r="62" spans="1:12">
      <c r="A62" s="391">
        <v>2</v>
      </c>
      <c r="B62" s="392" t="s">
        <v>3061</v>
      </c>
      <c r="C62" s="393">
        <v>0</v>
      </c>
      <c r="D62" s="393">
        <v>0</v>
      </c>
      <c r="E62" s="393">
        <v>0</v>
      </c>
      <c r="F62" s="393">
        <v>0</v>
      </c>
      <c r="G62" s="394">
        <v>0</v>
      </c>
      <c r="H62" s="394">
        <v>0</v>
      </c>
      <c r="I62" s="389">
        <f>C62+E62+G62</f>
        <v>0</v>
      </c>
      <c r="J62" s="389">
        <f>D62+F62+H62</f>
        <v>0</v>
      </c>
      <c r="K62" s="394">
        <f>K57+I62</f>
        <v>0</v>
      </c>
      <c r="L62" s="398">
        <f>L57+J62</f>
        <v>0</v>
      </c>
    </row>
    <row r="63" spans="1:12" ht="15.75" thickBot="1">
      <c r="A63" s="1750" t="s">
        <v>3062</v>
      </c>
      <c r="B63" s="1751"/>
      <c r="C63" s="395">
        <f t="shared" ref="C63:L63" si="9">SUM(C61:C62)</f>
        <v>0</v>
      </c>
      <c r="D63" s="395">
        <f t="shared" si="9"/>
        <v>0</v>
      </c>
      <c r="E63" s="395">
        <f t="shared" si="9"/>
        <v>0</v>
      </c>
      <c r="F63" s="395">
        <f t="shared" si="9"/>
        <v>0</v>
      </c>
      <c r="G63" s="395">
        <f t="shared" si="9"/>
        <v>0</v>
      </c>
      <c r="H63" s="395">
        <f t="shared" si="9"/>
        <v>0</v>
      </c>
      <c r="I63" s="395">
        <f t="shared" si="9"/>
        <v>0</v>
      </c>
      <c r="J63" s="395">
        <f t="shared" si="9"/>
        <v>0</v>
      </c>
      <c r="K63" s="395">
        <f t="shared" si="9"/>
        <v>2</v>
      </c>
      <c r="L63" s="396">
        <f t="shared" si="9"/>
        <v>394</v>
      </c>
    </row>
    <row r="64" spans="1:12">
      <c r="A64" s="1741" t="s">
        <v>3544</v>
      </c>
      <c r="B64" s="1747" t="s">
        <v>3052</v>
      </c>
      <c r="C64" s="1743" t="s">
        <v>3067</v>
      </c>
      <c r="D64" s="1740"/>
      <c r="E64" s="1744" t="s">
        <v>3068</v>
      </c>
      <c r="F64" s="1745"/>
      <c r="G64" s="1739" t="s">
        <v>3069</v>
      </c>
      <c r="H64" s="1740"/>
      <c r="I64" s="1739" t="s">
        <v>3070</v>
      </c>
      <c r="J64" s="1740"/>
      <c r="K64" s="1739" t="s">
        <v>3057</v>
      </c>
      <c r="L64" s="1749"/>
    </row>
    <row r="65" spans="1:12" ht="24.75" thickBot="1">
      <c r="A65" s="1742"/>
      <c r="B65" s="1748"/>
      <c r="C65" s="383" t="s">
        <v>3058</v>
      </c>
      <c r="D65" s="384" t="s">
        <v>3059</v>
      </c>
      <c r="E65" s="383" t="s">
        <v>3058</v>
      </c>
      <c r="F65" s="384" t="s">
        <v>3059</v>
      </c>
      <c r="G65" s="383" t="s">
        <v>3058</v>
      </c>
      <c r="H65" s="384" t="s">
        <v>3059</v>
      </c>
      <c r="I65" s="383" t="s">
        <v>3058</v>
      </c>
      <c r="J65" s="384" t="s">
        <v>3059</v>
      </c>
      <c r="K65" s="383" t="s">
        <v>3058</v>
      </c>
      <c r="L65" s="385" t="s">
        <v>3059</v>
      </c>
    </row>
    <row r="66" spans="1:12">
      <c r="A66" s="386">
        <v>1</v>
      </c>
      <c r="B66" s="387" t="s">
        <v>3060</v>
      </c>
      <c r="C66" s="388">
        <v>1</v>
      </c>
      <c r="D66" s="388">
        <v>60</v>
      </c>
      <c r="E66" s="388">
        <v>0</v>
      </c>
      <c r="F66" s="388">
        <v>0</v>
      </c>
      <c r="G66" s="389">
        <v>2</v>
      </c>
      <c r="H66" s="389">
        <v>79</v>
      </c>
      <c r="I66" s="389">
        <f>C66+E66+G66</f>
        <v>3</v>
      </c>
      <c r="J66" s="389">
        <f>D66+F66+H66</f>
        <v>139</v>
      </c>
      <c r="K66" s="389">
        <f>K61+I66</f>
        <v>5</v>
      </c>
      <c r="L66" s="397">
        <f>L61+J66</f>
        <v>533</v>
      </c>
    </row>
    <row r="67" spans="1:12">
      <c r="A67" s="391">
        <v>2</v>
      </c>
      <c r="B67" s="392" t="s">
        <v>3061</v>
      </c>
      <c r="C67" s="393">
        <v>0</v>
      </c>
      <c r="D67" s="393">
        <v>0</v>
      </c>
      <c r="E67" s="393">
        <v>0</v>
      </c>
      <c r="F67" s="393">
        <v>0</v>
      </c>
      <c r="G67" s="394">
        <v>0</v>
      </c>
      <c r="H67" s="394">
        <v>0</v>
      </c>
      <c r="I67" s="389">
        <f>C67+E67+G67</f>
        <v>0</v>
      </c>
      <c r="J67" s="389">
        <f>D67+F67+H67</f>
        <v>0</v>
      </c>
      <c r="K67" s="394">
        <f>K62+I67</f>
        <v>0</v>
      </c>
      <c r="L67" s="398">
        <f>L62+J67</f>
        <v>0</v>
      </c>
    </row>
    <row r="68" spans="1:12" ht="15.75" thickBot="1">
      <c r="A68" s="1750" t="s">
        <v>3062</v>
      </c>
      <c r="B68" s="1751"/>
      <c r="C68" s="395">
        <f t="shared" ref="C68:L68" si="10">SUM(C66:C67)</f>
        <v>1</v>
      </c>
      <c r="D68" s="395">
        <f t="shared" si="10"/>
        <v>60</v>
      </c>
      <c r="E68" s="395">
        <f t="shared" si="10"/>
        <v>0</v>
      </c>
      <c r="F68" s="395">
        <f t="shared" si="10"/>
        <v>0</v>
      </c>
      <c r="G68" s="395">
        <f t="shared" si="10"/>
        <v>2</v>
      </c>
      <c r="H68" s="395">
        <f t="shared" si="10"/>
        <v>79</v>
      </c>
      <c r="I68" s="395">
        <f t="shared" si="10"/>
        <v>3</v>
      </c>
      <c r="J68" s="395">
        <f t="shared" si="10"/>
        <v>139</v>
      </c>
      <c r="K68" s="395">
        <f t="shared" si="10"/>
        <v>5</v>
      </c>
      <c r="L68" s="396">
        <f t="shared" si="10"/>
        <v>533</v>
      </c>
    </row>
    <row r="69" spans="1:12">
      <c r="A69" s="1741" t="s">
        <v>3544</v>
      </c>
      <c r="B69" s="1747" t="s">
        <v>3052</v>
      </c>
      <c r="C69" s="1743" t="s">
        <v>3071</v>
      </c>
      <c r="D69" s="1740"/>
      <c r="E69" s="1744" t="s">
        <v>3072</v>
      </c>
      <c r="F69" s="1745"/>
      <c r="G69" s="1739" t="s">
        <v>3073</v>
      </c>
      <c r="H69" s="1740"/>
      <c r="I69" s="1739" t="s">
        <v>3074</v>
      </c>
      <c r="J69" s="1740"/>
      <c r="K69" s="1739" t="s">
        <v>3057</v>
      </c>
      <c r="L69" s="1749"/>
    </row>
    <row r="70" spans="1:12" ht="24.75" thickBot="1">
      <c r="A70" s="1742"/>
      <c r="B70" s="1748"/>
      <c r="C70" s="383" t="s">
        <v>3058</v>
      </c>
      <c r="D70" s="384" t="s">
        <v>3059</v>
      </c>
      <c r="E70" s="383" t="s">
        <v>3058</v>
      </c>
      <c r="F70" s="384" t="s">
        <v>3059</v>
      </c>
      <c r="G70" s="383" t="s">
        <v>3058</v>
      </c>
      <c r="H70" s="384" t="s">
        <v>3059</v>
      </c>
      <c r="I70" s="383" t="s">
        <v>3058</v>
      </c>
      <c r="J70" s="384" t="s">
        <v>3059</v>
      </c>
      <c r="K70" s="383" t="s">
        <v>3058</v>
      </c>
      <c r="L70" s="385" t="s">
        <v>3059</v>
      </c>
    </row>
    <row r="71" spans="1:12">
      <c r="A71" s="386">
        <v>1</v>
      </c>
      <c r="B71" s="387" t="s">
        <v>3060</v>
      </c>
      <c r="C71" s="388">
        <v>0</v>
      </c>
      <c r="D71" s="388">
        <v>0</v>
      </c>
      <c r="E71" s="388">
        <v>0</v>
      </c>
      <c r="F71" s="388">
        <v>0</v>
      </c>
      <c r="G71" s="389">
        <v>0</v>
      </c>
      <c r="H71" s="389">
        <v>0</v>
      </c>
      <c r="I71" s="389">
        <f>C71+E71+G71</f>
        <v>0</v>
      </c>
      <c r="J71" s="389">
        <f>D71+F71+H71</f>
        <v>0</v>
      </c>
      <c r="K71" s="389">
        <f>K66+I71</f>
        <v>5</v>
      </c>
      <c r="L71" s="397">
        <f>L66+J71</f>
        <v>533</v>
      </c>
    </row>
    <row r="72" spans="1:12">
      <c r="A72" s="391">
        <v>2</v>
      </c>
      <c r="B72" s="392" t="s">
        <v>3061</v>
      </c>
      <c r="C72" s="393">
        <v>0</v>
      </c>
      <c r="D72" s="393">
        <v>0</v>
      </c>
      <c r="E72" s="393">
        <v>0</v>
      </c>
      <c r="F72" s="393">
        <v>0</v>
      </c>
      <c r="G72" s="394">
        <v>0</v>
      </c>
      <c r="H72" s="394">
        <v>0</v>
      </c>
      <c r="I72" s="389">
        <f>C72+E72+G72</f>
        <v>0</v>
      </c>
      <c r="J72" s="389">
        <f>D72+F72+H72</f>
        <v>0</v>
      </c>
      <c r="K72" s="394">
        <f>K67+I72</f>
        <v>0</v>
      </c>
      <c r="L72" s="398">
        <f>L67+J72</f>
        <v>0</v>
      </c>
    </row>
    <row r="73" spans="1:12" ht="15.75" thickBot="1">
      <c r="A73" s="1737" t="s">
        <v>3062</v>
      </c>
      <c r="B73" s="1738"/>
      <c r="C73" s="399">
        <f t="shared" ref="C73:L73" si="11">SUM(C71:C72)</f>
        <v>0</v>
      </c>
      <c r="D73" s="399">
        <f t="shared" si="11"/>
        <v>0</v>
      </c>
      <c r="E73" s="399">
        <f t="shared" si="11"/>
        <v>0</v>
      </c>
      <c r="F73" s="399">
        <f t="shared" si="11"/>
        <v>0</v>
      </c>
      <c r="G73" s="399">
        <f t="shared" si="11"/>
        <v>0</v>
      </c>
      <c r="H73" s="399">
        <f t="shared" si="11"/>
        <v>0</v>
      </c>
      <c r="I73" s="399">
        <f t="shared" si="11"/>
        <v>0</v>
      </c>
      <c r="J73" s="399">
        <f t="shared" si="11"/>
        <v>0</v>
      </c>
      <c r="K73" s="399">
        <f t="shared" si="11"/>
        <v>5</v>
      </c>
      <c r="L73" s="400">
        <f t="shared" si="11"/>
        <v>533</v>
      </c>
    </row>
    <row r="76" spans="1:12">
      <c r="A76" s="1746" t="s">
        <v>3077</v>
      </c>
      <c r="B76" s="1746"/>
      <c r="C76" s="1746"/>
      <c r="D76" s="1746"/>
      <c r="E76" s="1746"/>
      <c r="F76" s="1746"/>
      <c r="G76" s="1746"/>
      <c r="H76" s="1746"/>
      <c r="I76" s="1746"/>
      <c r="J76" s="1746"/>
      <c r="K76" s="1746"/>
      <c r="L76" s="1746"/>
    </row>
    <row r="77" spans="1:12" ht="15.75" thickBot="1"/>
    <row r="78" spans="1:12">
      <c r="A78" s="1741" t="s">
        <v>3544</v>
      </c>
      <c r="B78" s="1747" t="s">
        <v>3052</v>
      </c>
      <c r="C78" s="1743" t="s">
        <v>3053</v>
      </c>
      <c r="D78" s="1740"/>
      <c r="E78" s="1744" t="s">
        <v>3054</v>
      </c>
      <c r="F78" s="1745"/>
      <c r="G78" s="1739" t="s">
        <v>3055</v>
      </c>
      <c r="H78" s="1740"/>
      <c r="I78" s="1739" t="s">
        <v>3056</v>
      </c>
      <c r="J78" s="1740"/>
      <c r="K78" s="1739" t="s">
        <v>3057</v>
      </c>
      <c r="L78" s="1749"/>
    </row>
    <row r="79" spans="1:12" ht="24.75" thickBot="1">
      <c r="A79" s="1742"/>
      <c r="B79" s="1748"/>
      <c r="C79" s="383" t="s">
        <v>3058</v>
      </c>
      <c r="D79" s="384" t="s">
        <v>3059</v>
      </c>
      <c r="E79" s="383" t="s">
        <v>3058</v>
      </c>
      <c r="F79" s="384" t="s">
        <v>3059</v>
      </c>
      <c r="G79" s="383" t="s">
        <v>3058</v>
      </c>
      <c r="H79" s="384" t="s">
        <v>3059</v>
      </c>
      <c r="I79" s="383" t="s">
        <v>3058</v>
      </c>
      <c r="J79" s="384" t="s">
        <v>3059</v>
      </c>
      <c r="K79" s="383" t="s">
        <v>3058</v>
      </c>
      <c r="L79" s="385" t="s">
        <v>3059</v>
      </c>
    </row>
    <row r="80" spans="1:12">
      <c r="A80" s="386">
        <v>1</v>
      </c>
      <c r="B80" s="387" t="s">
        <v>3060</v>
      </c>
      <c r="C80" s="388">
        <v>0</v>
      </c>
      <c r="D80" s="388">
        <v>0</v>
      </c>
      <c r="E80" s="388">
        <v>0</v>
      </c>
      <c r="F80" s="388">
        <v>0</v>
      </c>
      <c r="G80" s="389">
        <v>0</v>
      </c>
      <c r="H80" s="389">
        <v>0</v>
      </c>
      <c r="I80" s="389">
        <f>C80+E80+G80</f>
        <v>0</v>
      </c>
      <c r="J80" s="389">
        <f>D80+F80+H80</f>
        <v>0</v>
      </c>
      <c r="K80" s="389">
        <f>I80</f>
        <v>0</v>
      </c>
      <c r="L80" s="390">
        <f>J80</f>
        <v>0</v>
      </c>
    </row>
    <row r="81" spans="1:12">
      <c r="A81" s="391">
        <v>2</v>
      </c>
      <c r="B81" s="392" t="s">
        <v>3061</v>
      </c>
      <c r="C81" s="393">
        <v>0</v>
      </c>
      <c r="D81" s="393">
        <v>0</v>
      </c>
      <c r="E81" s="393">
        <v>0</v>
      </c>
      <c r="F81" s="393">
        <v>0</v>
      </c>
      <c r="G81" s="394">
        <v>0</v>
      </c>
      <c r="H81" s="394">
        <v>0</v>
      </c>
      <c r="I81" s="389">
        <f>C81+E81+G81</f>
        <v>0</v>
      </c>
      <c r="J81" s="389">
        <f>D81+F81+H81</f>
        <v>0</v>
      </c>
      <c r="K81" s="389">
        <f>I81</f>
        <v>0</v>
      </c>
      <c r="L81" s="390">
        <f>J81</f>
        <v>0</v>
      </c>
    </row>
    <row r="82" spans="1:12" ht="15.75" thickBot="1">
      <c r="A82" s="1750" t="s">
        <v>3062</v>
      </c>
      <c r="B82" s="1751"/>
      <c r="C82" s="395">
        <f t="shared" ref="C82:L82" si="12">SUM(C80:C81)</f>
        <v>0</v>
      </c>
      <c r="D82" s="395">
        <f t="shared" si="12"/>
        <v>0</v>
      </c>
      <c r="E82" s="395">
        <f t="shared" si="12"/>
        <v>0</v>
      </c>
      <c r="F82" s="395">
        <f t="shared" si="12"/>
        <v>0</v>
      </c>
      <c r="G82" s="395">
        <f t="shared" si="12"/>
        <v>0</v>
      </c>
      <c r="H82" s="395">
        <f t="shared" si="12"/>
        <v>0</v>
      </c>
      <c r="I82" s="395">
        <f t="shared" si="12"/>
        <v>0</v>
      </c>
      <c r="J82" s="395">
        <f t="shared" si="12"/>
        <v>0</v>
      </c>
      <c r="K82" s="395">
        <f t="shared" si="12"/>
        <v>0</v>
      </c>
      <c r="L82" s="396">
        <f t="shared" si="12"/>
        <v>0</v>
      </c>
    </row>
    <row r="83" spans="1:12">
      <c r="A83" s="1741" t="s">
        <v>3544</v>
      </c>
      <c r="B83" s="1747" t="s">
        <v>3052</v>
      </c>
      <c r="C83" s="1743" t="s">
        <v>3063</v>
      </c>
      <c r="D83" s="1740"/>
      <c r="E83" s="1744" t="s">
        <v>3064</v>
      </c>
      <c r="F83" s="1745"/>
      <c r="G83" s="1739" t="s">
        <v>3065</v>
      </c>
      <c r="H83" s="1740"/>
      <c r="I83" s="1739" t="s">
        <v>3066</v>
      </c>
      <c r="J83" s="1740"/>
      <c r="K83" s="1739" t="s">
        <v>3057</v>
      </c>
      <c r="L83" s="1749"/>
    </row>
    <row r="84" spans="1:12" ht="24.75" thickBot="1">
      <c r="A84" s="1742"/>
      <c r="B84" s="1748"/>
      <c r="C84" s="383" t="s">
        <v>3058</v>
      </c>
      <c r="D84" s="384" t="s">
        <v>3059</v>
      </c>
      <c r="E84" s="383" t="s">
        <v>3058</v>
      </c>
      <c r="F84" s="384" t="s">
        <v>3059</v>
      </c>
      <c r="G84" s="383" t="s">
        <v>3058</v>
      </c>
      <c r="H84" s="384" t="s">
        <v>3059</v>
      </c>
      <c r="I84" s="383" t="s">
        <v>3058</v>
      </c>
      <c r="J84" s="384" t="s">
        <v>3059</v>
      </c>
      <c r="K84" s="383" t="s">
        <v>3058</v>
      </c>
      <c r="L84" s="385" t="s">
        <v>3059</v>
      </c>
    </row>
    <row r="85" spans="1:12">
      <c r="A85" s="386">
        <v>1</v>
      </c>
      <c r="B85" s="387" t="s">
        <v>3060</v>
      </c>
      <c r="C85" s="388">
        <v>1</v>
      </c>
      <c r="D85" s="388">
        <v>60</v>
      </c>
      <c r="E85" s="388">
        <v>2</v>
      </c>
      <c r="F85" s="388">
        <v>904.66</v>
      </c>
      <c r="G85" s="389">
        <v>1</v>
      </c>
      <c r="H85" s="389">
        <v>2553.5</v>
      </c>
      <c r="I85" s="389">
        <f>C85+E85+G85</f>
        <v>4</v>
      </c>
      <c r="J85" s="389">
        <f>D85+F85+H85</f>
        <v>3518.16</v>
      </c>
      <c r="K85" s="389">
        <f>K80+I85</f>
        <v>4</v>
      </c>
      <c r="L85" s="397">
        <f>L80+J85</f>
        <v>3518.16</v>
      </c>
    </row>
    <row r="86" spans="1:12">
      <c r="A86" s="391">
        <v>2</v>
      </c>
      <c r="B86" s="392" t="s">
        <v>3061</v>
      </c>
      <c r="C86" s="393">
        <v>0</v>
      </c>
      <c r="D86" s="393">
        <v>0</v>
      </c>
      <c r="E86" s="393">
        <v>0</v>
      </c>
      <c r="F86" s="393">
        <v>0</v>
      </c>
      <c r="G86" s="394">
        <v>0</v>
      </c>
      <c r="H86" s="394">
        <v>0</v>
      </c>
      <c r="I86" s="389">
        <f>C86+E86+G86</f>
        <v>0</v>
      </c>
      <c r="J86" s="389">
        <f>D86+F86+H86</f>
        <v>0</v>
      </c>
      <c r="K86" s="394">
        <f>K81+I86</f>
        <v>0</v>
      </c>
      <c r="L86" s="398">
        <f>L81+J86</f>
        <v>0</v>
      </c>
    </row>
    <row r="87" spans="1:12" ht="15.75" thickBot="1">
      <c r="A87" s="1750" t="s">
        <v>3062</v>
      </c>
      <c r="B87" s="1751"/>
      <c r="C87" s="395">
        <f t="shared" ref="C87:L87" si="13">SUM(C85:C86)</f>
        <v>1</v>
      </c>
      <c r="D87" s="395">
        <f t="shared" si="13"/>
        <v>60</v>
      </c>
      <c r="E87" s="395">
        <f t="shared" si="13"/>
        <v>2</v>
      </c>
      <c r="F87" s="395">
        <f t="shared" si="13"/>
        <v>904.66</v>
      </c>
      <c r="G87" s="395">
        <f t="shared" si="13"/>
        <v>1</v>
      </c>
      <c r="H87" s="395">
        <f t="shared" si="13"/>
        <v>2553.5</v>
      </c>
      <c r="I87" s="395">
        <f t="shared" si="13"/>
        <v>4</v>
      </c>
      <c r="J87" s="395">
        <f t="shared" si="13"/>
        <v>3518.16</v>
      </c>
      <c r="K87" s="395">
        <f t="shared" si="13"/>
        <v>4</v>
      </c>
      <c r="L87" s="396">
        <f t="shared" si="13"/>
        <v>3518.16</v>
      </c>
    </row>
    <row r="88" spans="1:12">
      <c r="A88" s="1741" t="s">
        <v>3544</v>
      </c>
      <c r="B88" s="1747" t="s">
        <v>3052</v>
      </c>
      <c r="C88" s="1743" t="s">
        <v>3067</v>
      </c>
      <c r="D88" s="1740"/>
      <c r="E88" s="1744" t="s">
        <v>3068</v>
      </c>
      <c r="F88" s="1745"/>
      <c r="G88" s="1739" t="s">
        <v>3069</v>
      </c>
      <c r="H88" s="1740"/>
      <c r="I88" s="1739" t="s">
        <v>3070</v>
      </c>
      <c r="J88" s="1740"/>
      <c r="K88" s="1739" t="s">
        <v>3057</v>
      </c>
      <c r="L88" s="1749"/>
    </row>
    <row r="89" spans="1:12" ht="24.75" thickBot="1">
      <c r="A89" s="1742"/>
      <c r="B89" s="1748"/>
      <c r="C89" s="383" t="s">
        <v>3058</v>
      </c>
      <c r="D89" s="384" t="s">
        <v>3059</v>
      </c>
      <c r="E89" s="383" t="s">
        <v>3058</v>
      </c>
      <c r="F89" s="384" t="s">
        <v>3059</v>
      </c>
      <c r="G89" s="383" t="s">
        <v>3058</v>
      </c>
      <c r="H89" s="384" t="s">
        <v>3059</v>
      </c>
      <c r="I89" s="383" t="s">
        <v>3058</v>
      </c>
      <c r="J89" s="384" t="s">
        <v>3059</v>
      </c>
      <c r="K89" s="383" t="s">
        <v>3058</v>
      </c>
      <c r="L89" s="385" t="s">
        <v>3059</v>
      </c>
    </row>
    <row r="90" spans="1:12">
      <c r="A90" s="386">
        <v>1</v>
      </c>
      <c r="B90" s="387" t="s">
        <v>3060</v>
      </c>
      <c r="C90" s="388">
        <v>1</v>
      </c>
      <c r="D90" s="388">
        <v>150</v>
      </c>
      <c r="E90" s="388">
        <v>0</v>
      </c>
      <c r="F90" s="388">
        <v>0</v>
      </c>
      <c r="G90" s="389">
        <v>0</v>
      </c>
      <c r="H90" s="389">
        <v>0</v>
      </c>
      <c r="I90" s="389">
        <f>C90+E90+G90</f>
        <v>1</v>
      </c>
      <c r="J90" s="389">
        <f>D90+F90+H90</f>
        <v>150</v>
      </c>
      <c r="K90" s="389">
        <f>K85+I90</f>
        <v>5</v>
      </c>
      <c r="L90" s="397">
        <f>L85+J90</f>
        <v>3668.16</v>
      </c>
    </row>
    <row r="91" spans="1:12">
      <c r="A91" s="391">
        <v>2</v>
      </c>
      <c r="B91" s="392" t="s">
        <v>3061</v>
      </c>
      <c r="C91" s="393">
        <v>0</v>
      </c>
      <c r="D91" s="393">
        <v>0</v>
      </c>
      <c r="E91" s="393">
        <v>0</v>
      </c>
      <c r="F91" s="393">
        <v>0</v>
      </c>
      <c r="G91" s="394">
        <v>0</v>
      </c>
      <c r="H91" s="394">
        <v>0</v>
      </c>
      <c r="I91" s="389">
        <f>C91+E91+G91</f>
        <v>0</v>
      </c>
      <c r="J91" s="389">
        <f>D91+F91+H91</f>
        <v>0</v>
      </c>
      <c r="K91" s="394">
        <f>K86+I91</f>
        <v>0</v>
      </c>
      <c r="L91" s="398">
        <f>L86+J91</f>
        <v>0</v>
      </c>
    </row>
    <row r="92" spans="1:12" ht="15.75" thickBot="1">
      <c r="A92" s="1750" t="s">
        <v>3062</v>
      </c>
      <c r="B92" s="1751"/>
      <c r="C92" s="395">
        <f t="shared" ref="C92:L92" si="14">SUM(C90:C91)</f>
        <v>1</v>
      </c>
      <c r="D92" s="395">
        <f t="shared" si="14"/>
        <v>150</v>
      </c>
      <c r="E92" s="395">
        <f t="shared" si="14"/>
        <v>0</v>
      </c>
      <c r="F92" s="395">
        <f t="shared" si="14"/>
        <v>0</v>
      </c>
      <c r="G92" s="395">
        <f t="shared" si="14"/>
        <v>0</v>
      </c>
      <c r="H92" s="395">
        <f t="shared" si="14"/>
        <v>0</v>
      </c>
      <c r="I92" s="395">
        <f t="shared" si="14"/>
        <v>1</v>
      </c>
      <c r="J92" s="395">
        <f t="shared" si="14"/>
        <v>150</v>
      </c>
      <c r="K92" s="395">
        <f t="shared" si="14"/>
        <v>5</v>
      </c>
      <c r="L92" s="396">
        <f t="shared" si="14"/>
        <v>3668.16</v>
      </c>
    </row>
    <row r="93" spans="1:12">
      <c r="A93" s="1741" t="s">
        <v>3544</v>
      </c>
      <c r="B93" s="1747" t="s">
        <v>3052</v>
      </c>
      <c r="C93" s="1743" t="s">
        <v>3071</v>
      </c>
      <c r="D93" s="1740"/>
      <c r="E93" s="1744" t="s">
        <v>3072</v>
      </c>
      <c r="F93" s="1745"/>
      <c r="G93" s="1739" t="s">
        <v>3073</v>
      </c>
      <c r="H93" s="1740"/>
      <c r="I93" s="1739" t="s">
        <v>3074</v>
      </c>
      <c r="J93" s="1740"/>
      <c r="K93" s="1739" t="s">
        <v>3057</v>
      </c>
      <c r="L93" s="1749"/>
    </row>
    <row r="94" spans="1:12" ht="24.75" thickBot="1">
      <c r="A94" s="1742"/>
      <c r="B94" s="1748"/>
      <c r="C94" s="383" t="s">
        <v>3058</v>
      </c>
      <c r="D94" s="384" t="s">
        <v>3059</v>
      </c>
      <c r="E94" s="383" t="s">
        <v>3058</v>
      </c>
      <c r="F94" s="384" t="s">
        <v>3059</v>
      </c>
      <c r="G94" s="383" t="s">
        <v>3058</v>
      </c>
      <c r="H94" s="384" t="s">
        <v>3059</v>
      </c>
      <c r="I94" s="383" t="s">
        <v>3058</v>
      </c>
      <c r="J94" s="384" t="s">
        <v>3059</v>
      </c>
      <c r="K94" s="383" t="s">
        <v>3058</v>
      </c>
      <c r="L94" s="385" t="s">
        <v>3059</v>
      </c>
    </row>
    <row r="95" spans="1:12">
      <c r="A95" s="386">
        <v>1</v>
      </c>
      <c r="B95" s="387" t="s">
        <v>3060</v>
      </c>
      <c r="C95" s="388">
        <v>1</v>
      </c>
      <c r="D95" s="388">
        <v>389.13</v>
      </c>
      <c r="E95" s="388">
        <v>1</v>
      </c>
      <c r="F95" s="388">
        <v>388.935</v>
      </c>
      <c r="G95" s="389">
        <v>0</v>
      </c>
      <c r="H95" s="389">
        <v>0</v>
      </c>
      <c r="I95" s="389">
        <f>C95+E95+G95</f>
        <v>2</v>
      </c>
      <c r="J95" s="389">
        <f>D95+F95+H95</f>
        <v>778.06500000000005</v>
      </c>
      <c r="K95" s="389">
        <f>K90+I95</f>
        <v>7</v>
      </c>
      <c r="L95" s="397">
        <f>L90+J95</f>
        <v>4446.2250000000004</v>
      </c>
    </row>
    <row r="96" spans="1:12">
      <c r="A96" s="391">
        <v>2</v>
      </c>
      <c r="B96" s="392" t="s">
        <v>3061</v>
      </c>
      <c r="C96" s="393">
        <v>0</v>
      </c>
      <c r="D96" s="393">
        <v>0</v>
      </c>
      <c r="E96" s="393">
        <v>0</v>
      </c>
      <c r="F96" s="393">
        <v>0</v>
      </c>
      <c r="G96" s="394">
        <v>0</v>
      </c>
      <c r="H96" s="394">
        <v>0</v>
      </c>
      <c r="I96" s="389">
        <f>C96+E96+G96</f>
        <v>0</v>
      </c>
      <c r="J96" s="389">
        <f>D96+F96+H96</f>
        <v>0</v>
      </c>
      <c r="K96" s="394">
        <f>K91+I96</f>
        <v>0</v>
      </c>
      <c r="L96" s="398">
        <f>L91+J96</f>
        <v>0</v>
      </c>
    </row>
    <row r="97" spans="1:12" ht="15.75" thickBot="1">
      <c r="A97" s="1737" t="s">
        <v>3062</v>
      </c>
      <c r="B97" s="1738"/>
      <c r="C97" s="399">
        <f t="shared" ref="C97:L97" si="15">SUM(C95:C96)</f>
        <v>1</v>
      </c>
      <c r="D97" s="399">
        <f t="shared" si="15"/>
        <v>389.13</v>
      </c>
      <c r="E97" s="399">
        <f t="shared" si="15"/>
        <v>1</v>
      </c>
      <c r="F97" s="399">
        <f t="shared" si="15"/>
        <v>388.935</v>
      </c>
      <c r="G97" s="399">
        <f t="shared" si="15"/>
        <v>0</v>
      </c>
      <c r="H97" s="399">
        <f t="shared" si="15"/>
        <v>0</v>
      </c>
      <c r="I97" s="399">
        <f t="shared" si="15"/>
        <v>2</v>
      </c>
      <c r="J97" s="399">
        <f t="shared" si="15"/>
        <v>778.06500000000005</v>
      </c>
      <c r="K97" s="399">
        <f t="shared" si="15"/>
        <v>7</v>
      </c>
      <c r="L97" s="400">
        <f t="shared" si="15"/>
        <v>4446.2250000000004</v>
      </c>
    </row>
    <row r="100" spans="1:12">
      <c r="A100" s="1746" t="s">
        <v>3078</v>
      </c>
      <c r="B100" s="1746"/>
      <c r="C100" s="1746"/>
      <c r="D100" s="1746"/>
      <c r="E100" s="1746"/>
      <c r="F100" s="1746"/>
      <c r="G100" s="1746"/>
      <c r="H100" s="1746"/>
      <c r="I100" s="1746"/>
      <c r="J100" s="1746"/>
      <c r="K100" s="1746"/>
      <c r="L100" s="1746"/>
    </row>
    <row r="101" spans="1:12" ht="15.75" thickBot="1"/>
    <row r="102" spans="1:12">
      <c r="A102" s="1741" t="s">
        <v>3544</v>
      </c>
      <c r="B102" s="1747" t="s">
        <v>3052</v>
      </c>
      <c r="C102" s="1743" t="s">
        <v>3053</v>
      </c>
      <c r="D102" s="1740"/>
      <c r="E102" s="1744" t="s">
        <v>3054</v>
      </c>
      <c r="F102" s="1745"/>
      <c r="G102" s="1739" t="s">
        <v>3055</v>
      </c>
      <c r="H102" s="1740"/>
      <c r="I102" s="1739" t="s">
        <v>3056</v>
      </c>
      <c r="J102" s="1740"/>
      <c r="K102" s="1739" t="s">
        <v>3057</v>
      </c>
      <c r="L102" s="1749"/>
    </row>
    <row r="103" spans="1:12" ht="24.75" thickBot="1">
      <c r="A103" s="1742"/>
      <c r="B103" s="1748"/>
      <c r="C103" s="383" t="s">
        <v>3058</v>
      </c>
      <c r="D103" s="384" t="s">
        <v>3059</v>
      </c>
      <c r="E103" s="383" t="s">
        <v>3058</v>
      </c>
      <c r="F103" s="384" t="s">
        <v>3059</v>
      </c>
      <c r="G103" s="383" t="s">
        <v>3058</v>
      </c>
      <c r="H103" s="384" t="s">
        <v>3059</v>
      </c>
      <c r="I103" s="383" t="s">
        <v>3058</v>
      </c>
      <c r="J103" s="384" t="s">
        <v>3059</v>
      </c>
      <c r="K103" s="383" t="s">
        <v>3058</v>
      </c>
      <c r="L103" s="385" t="s">
        <v>3059</v>
      </c>
    </row>
    <row r="104" spans="1:12">
      <c r="A104" s="386">
        <v>1</v>
      </c>
      <c r="B104" s="387" t="s">
        <v>3060</v>
      </c>
      <c r="C104" s="388">
        <v>0</v>
      </c>
      <c r="D104" s="388">
        <v>0</v>
      </c>
      <c r="E104" s="388">
        <v>0</v>
      </c>
      <c r="F104" s="388">
        <v>0</v>
      </c>
      <c r="G104" s="389">
        <v>0</v>
      </c>
      <c r="H104" s="389">
        <v>0</v>
      </c>
      <c r="I104" s="389">
        <f>C104+E104+G104</f>
        <v>0</v>
      </c>
      <c r="J104" s="389">
        <f>D104+F104+H104</f>
        <v>0</v>
      </c>
      <c r="K104" s="389">
        <f>I104</f>
        <v>0</v>
      </c>
      <c r="L104" s="390">
        <f>J104</f>
        <v>0</v>
      </c>
    </row>
    <row r="105" spans="1:12">
      <c r="A105" s="391">
        <v>2</v>
      </c>
      <c r="B105" s="392" t="s">
        <v>3061</v>
      </c>
      <c r="C105" s="393">
        <v>0</v>
      </c>
      <c r="D105" s="393">
        <v>0</v>
      </c>
      <c r="E105" s="393">
        <v>0</v>
      </c>
      <c r="F105" s="393">
        <v>0</v>
      </c>
      <c r="G105" s="394">
        <v>0</v>
      </c>
      <c r="H105" s="394">
        <v>0</v>
      </c>
      <c r="I105" s="389">
        <f>C105+E105+G105</f>
        <v>0</v>
      </c>
      <c r="J105" s="389">
        <f>D105+F105+H105</f>
        <v>0</v>
      </c>
      <c r="K105" s="389">
        <f>I105</f>
        <v>0</v>
      </c>
      <c r="L105" s="390">
        <f>J105</f>
        <v>0</v>
      </c>
    </row>
    <row r="106" spans="1:12" ht="15.75" thickBot="1">
      <c r="A106" s="1750" t="s">
        <v>3062</v>
      </c>
      <c r="B106" s="1751"/>
      <c r="C106" s="395">
        <f t="shared" ref="C106:L106" si="16">SUM(C104:C105)</f>
        <v>0</v>
      </c>
      <c r="D106" s="395">
        <f t="shared" si="16"/>
        <v>0</v>
      </c>
      <c r="E106" s="395">
        <f t="shared" si="16"/>
        <v>0</v>
      </c>
      <c r="F106" s="395">
        <f t="shared" si="16"/>
        <v>0</v>
      </c>
      <c r="G106" s="395">
        <f t="shared" si="16"/>
        <v>0</v>
      </c>
      <c r="H106" s="395">
        <f t="shared" si="16"/>
        <v>0</v>
      </c>
      <c r="I106" s="395">
        <f t="shared" si="16"/>
        <v>0</v>
      </c>
      <c r="J106" s="395">
        <f t="shared" si="16"/>
        <v>0</v>
      </c>
      <c r="K106" s="395">
        <f t="shared" si="16"/>
        <v>0</v>
      </c>
      <c r="L106" s="396">
        <f t="shared" si="16"/>
        <v>0</v>
      </c>
    </row>
    <row r="107" spans="1:12">
      <c r="A107" s="1741" t="s">
        <v>3544</v>
      </c>
      <c r="B107" s="1747" t="s">
        <v>3052</v>
      </c>
      <c r="C107" s="1743" t="s">
        <v>3063</v>
      </c>
      <c r="D107" s="1740"/>
      <c r="E107" s="1744" t="s">
        <v>3064</v>
      </c>
      <c r="F107" s="1745"/>
      <c r="G107" s="1739" t="s">
        <v>3065</v>
      </c>
      <c r="H107" s="1740"/>
      <c r="I107" s="1739" t="s">
        <v>3066</v>
      </c>
      <c r="J107" s="1740"/>
      <c r="K107" s="1739" t="s">
        <v>3057</v>
      </c>
      <c r="L107" s="1749"/>
    </row>
    <row r="108" spans="1:12" ht="24.75" thickBot="1">
      <c r="A108" s="1742"/>
      <c r="B108" s="1748"/>
      <c r="C108" s="383" t="s">
        <v>3058</v>
      </c>
      <c r="D108" s="384" t="s">
        <v>3059</v>
      </c>
      <c r="E108" s="383" t="s">
        <v>3058</v>
      </c>
      <c r="F108" s="384" t="s">
        <v>3059</v>
      </c>
      <c r="G108" s="383" t="s">
        <v>3058</v>
      </c>
      <c r="H108" s="384" t="s">
        <v>3059</v>
      </c>
      <c r="I108" s="383" t="s">
        <v>3058</v>
      </c>
      <c r="J108" s="384" t="s">
        <v>3059</v>
      </c>
      <c r="K108" s="383" t="s">
        <v>3058</v>
      </c>
      <c r="L108" s="385" t="s">
        <v>3059</v>
      </c>
    </row>
    <row r="109" spans="1:12">
      <c r="A109" s="386">
        <v>1</v>
      </c>
      <c r="B109" s="387" t="s">
        <v>3060</v>
      </c>
      <c r="C109" s="388">
        <v>0</v>
      </c>
      <c r="D109" s="388">
        <v>0</v>
      </c>
      <c r="E109" s="388">
        <v>0</v>
      </c>
      <c r="F109" s="388">
        <v>0</v>
      </c>
      <c r="G109" s="389">
        <v>0</v>
      </c>
      <c r="H109" s="389">
        <v>0</v>
      </c>
      <c r="I109" s="389">
        <f>C109+E109+G109</f>
        <v>0</v>
      </c>
      <c r="J109" s="389">
        <f>D109+F109+H109</f>
        <v>0</v>
      </c>
      <c r="K109" s="389">
        <f>K104+I109</f>
        <v>0</v>
      </c>
      <c r="L109" s="397">
        <f>L104+J109</f>
        <v>0</v>
      </c>
    </row>
    <row r="110" spans="1:12">
      <c r="A110" s="391">
        <v>2</v>
      </c>
      <c r="B110" s="392" t="s">
        <v>3061</v>
      </c>
      <c r="C110" s="393">
        <v>0</v>
      </c>
      <c r="D110" s="393">
        <v>0</v>
      </c>
      <c r="E110" s="393">
        <v>1</v>
      </c>
      <c r="F110" s="393">
        <v>750</v>
      </c>
      <c r="G110" s="394">
        <v>0</v>
      </c>
      <c r="H110" s="394">
        <v>0</v>
      </c>
      <c r="I110" s="389">
        <f>C110+E110+G110</f>
        <v>1</v>
      </c>
      <c r="J110" s="389">
        <f>D110+F110+H110</f>
        <v>750</v>
      </c>
      <c r="K110" s="394">
        <f>K105+I110</f>
        <v>1</v>
      </c>
      <c r="L110" s="398">
        <f>L105+J110</f>
        <v>750</v>
      </c>
    </row>
    <row r="111" spans="1:12" ht="15.75" thickBot="1">
      <c r="A111" s="1750" t="s">
        <v>3062</v>
      </c>
      <c r="B111" s="1751"/>
      <c r="C111" s="395">
        <f t="shared" ref="C111:L111" si="17">SUM(C109:C110)</f>
        <v>0</v>
      </c>
      <c r="D111" s="395">
        <f t="shared" si="17"/>
        <v>0</v>
      </c>
      <c r="E111" s="395">
        <f t="shared" si="17"/>
        <v>1</v>
      </c>
      <c r="F111" s="395">
        <f t="shared" si="17"/>
        <v>750</v>
      </c>
      <c r="G111" s="395">
        <f t="shared" si="17"/>
        <v>0</v>
      </c>
      <c r="H111" s="395">
        <f t="shared" si="17"/>
        <v>0</v>
      </c>
      <c r="I111" s="395">
        <f t="shared" si="17"/>
        <v>1</v>
      </c>
      <c r="J111" s="395">
        <f t="shared" si="17"/>
        <v>750</v>
      </c>
      <c r="K111" s="395">
        <f t="shared" si="17"/>
        <v>1</v>
      </c>
      <c r="L111" s="396">
        <f t="shared" si="17"/>
        <v>750</v>
      </c>
    </row>
    <row r="112" spans="1:12">
      <c r="A112" s="1741" t="s">
        <v>3544</v>
      </c>
      <c r="B112" s="1747" t="s">
        <v>3052</v>
      </c>
      <c r="C112" s="1743" t="s">
        <v>3067</v>
      </c>
      <c r="D112" s="1740"/>
      <c r="E112" s="1744" t="s">
        <v>3068</v>
      </c>
      <c r="F112" s="1745"/>
      <c r="G112" s="1739" t="s">
        <v>3069</v>
      </c>
      <c r="H112" s="1740"/>
      <c r="I112" s="1739" t="s">
        <v>3070</v>
      </c>
      <c r="J112" s="1740"/>
      <c r="K112" s="1739" t="s">
        <v>3057</v>
      </c>
      <c r="L112" s="1749"/>
    </row>
    <row r="113" spans="1:12" ht="24.75" thickBot="1">
      <c r="A113" s="1742"/>
      <c r="B113" s="1748"/>
      <c r="C113" s="383" t="s">
        <v>3058</v>
      </c>
      <c r="D113" s="384" t="s">
        <v>3059</v>
      </c>
      <c r="E113" s="383" t="s">
        <v>3058</v>
      </c>
      <c r="F113" s="384" t="s">
        <v>3059</v>
      </c>
      <c r="G113" s="383" t="s">
        <v>3058</v>
      </c>
      <c r="H113" s="384" t="s">
        <v>3059</v>
      </c>
      <c r="I113" s="383" t="s">
        <v>3058</v>
      </c>
      <c r="J113" s="384" t="s">
        <v>3059</v>
      </c>
      <c r="K113" s="383" t="s">
        <v>3058</v>
      </c>
      <c r="L113" s="385" t="s">
        <v>3059</v>
      </c>
    </row>
    <row r="114" spans="1:12">
      <c r="A114" s="386">
        <v>1</v>
      </c>
      <c r="B114" s="387" t="s">
        <v>3060</v>
      </c>
      <c r="C114" s="388">
        <v>0</v>
      </c>
      <c r="D114" s="388">
        <v>0</v>
      </c>
      <c r="E114" s="388">
        <v>0</v>
      </c>
      <c r="F114" s="388">
        <v>0</v>
      </c>
      <c r="G114" s="389">
        <v>0</v>
      </c>
      <c r="H114" s="389">
        <v>0</v>
      </c>
      <c r="I114" s="389">
        <f>C114+E114+G114</f>
        <v>0</v>
      </c>
      <c r="J114" s="389">
        <f>D114+F114+H114</f>
        <v>0</v>
      </c>
      <c r="K114" s="389">
        <f>K109+I114</f>
        <v>0</v>
      </c>
      <c r="L114" s="397">
        <f>L109+J114</f>
        <v>0</v>
      </c>
    </row>
    <row r="115" spans="1:12">
      <c r="A115" s="391">
        <v>2</v>
      </c>
      <c r="B115" s="392" t="s">
        <v>3061</v>
      </c>
      <c r="C115" s="393">
        <v>0</v>
      </c>
      <c r="D115" s="393">
        <v>0</v>
      </c>
      <c r="E115" s="393">
        <v>0</v>
      </c>
      <c r="F115" s="393">
        <v>0</v>
      </c>
      <c r="G115" s="394">
        <v>0</v>
      </c>
      <c r="H115" s="394">
        <v>0</v>
      </c>
      <c r="I115" s="389">
        <f>C115+E115+G115</f>
        <v>0</v>
      </c>
      <c r="J115" s="389">
        <f>D115+F115+H115</f>
        <v>0</v>
      </c>
      <c r="K115" s="394">
        <f>K110+I115</f>
        <v>1</v>
      </c>
      <c r="L115" s="398">
        <f>L110+J115</f>
        <v>750</v>
      </c>
    </row>
    <row r="116" spans="1:12" ht="15.75" thickBot="1">
      <c r="A116" s="1750" t="s">
        <v>3062</v>
      </c>
      <c r="B116" s="1751"/>
      <c r="C116" s="395">
        <f t="shared" ref="C116:L116" si="18">SUM(C114:C115)</f>
        <v>0</v>
      </c>
      <c r="D116" s="395">
        <f t="shared" si="18"/>
        <v>0</v>
      </c>
      <c r="E116" s="395">
        <f t="shared" si="18"/>
        <v>0</v>
      </c>
      <c r="F116" s="395">
        <f t="shared" si="18"/>
        <v>0</v>
      </c>
      <c r="G116" s="395">
        <f t="shared" si="18"/>
        <v>0</v>
      </c>
      <c r="H116" s="395">
        <f t="shared" si="18"/>
        <v>0</v>
      </c>
      <c r="I116" s="395">
        <f t="shared" si="18"/>
        <v>0</v>
      </c>
      <c r="J116" s="395">
        <f t="shared" si="18"/>
        <v>0</v>
      </c>
      <c r="K116" s="395">
        <f t="shared" si="18"/>
        <v>1</v>
      </c>
      <c r="L116" s="396">
        <f t="shared" si="18"/>
        <v>750</v>
      </c>
    </row>
    <row r="117" spans="1:12">
      <c r="A117" s="1741" t="s">
        <v>3544</v>
      </c>
      <c r="B117" s="1747" t="s">
        <v>3052</v>
      </c>
      <c r="C117" s="1743" t="s">
        <v>3071</v>
      </c>
      <c r="D117" s="1740"/>
      <c r="E117" s="1744" t="s">
        <v>3072</v>
      </c>
      <c r="F117" s="1745"/>
      <c r="G117" s="1739" t="s">
        <v>3073</v>
      </c>
      <c r="H117" s="1740"/>
      <c r="I117" s="1739" t="s">
        <v>3074</v>
      </c>
      <c r="J117" s="1740"/>
      <c r="K117" s="1739" t="s">
        <v>3057</v>
      </c>
      <c r="L117" s="1749"/>
    </row>
    <row r="118" spans="1:12" ht="24.75" thickBot="1">
      <c r="A118" s="1742"/>
      <c r="B118" s="1748"/>
      <c r="C118" s="383" t="s">
        <v>3058</v>
      </c>
      <c r="D118" s="384" t="s">
        <v>3059</v>
      </c>
      <c r="E118" s="383" t="s">
        <v>3058</v>
      </c>
      <c r="F118" s="384" t="s">
        <v>3059</v>
      </c>
      <c r="G118" s="383" t="s">
        <v>3058</v>
      </c>
      <c r="H118" s="384" t="s">
        <v>3059</v>
      </c>
      <c r="I118" s="383" t="s">
        <v>3058</v>
      </c>
      <c r="J118" s="384" t="s">
        <v>3059</v>
      </c>
      <c r="K118" s="383" t="s">
        <v>3058</v>
      </c>
      <c r="L118" s="385" t="s">
        <v>3059</v>
      </c>
    </row>
    <row r="119" spans="1:12">
      <c r="A119" s="386">
        <v>1</v>
      </c>
      <c r="B119" s="387" t="s">
        <v>3060</v>
      </c>
      <c r="C119" s="388">
        <v>1</v>
      </c>
      <c r="D119" s="388">
        <v>500</v>
      </c>
      <c r="E119" s="388">
        <v>0</v>
      </c>
      <c r="F119" s="388">
        <v>0</v>
      </c>
      <c r="G119" s="389">
        <v>0</v>
      </c>
      <c r="H119" s="389">
        <v>0</v>
      </c>
      <c r="I119" s="389">
        <f>C119+E119+G119</f>
        <v>1</v>
      </c>
      <c r="J119" s="389">
        <f>D119+F119+H119</f>
        <v>500</v>
      </c>
      <c r="K119" s="389">
        <f>K114+I119</f>
        <v>1</v>
      </c>
      <c r="L119" s="397">
        <f>L114+J119</f>
        <v>500</v>
      </c>
    </row>
    <row r="120" spans="1:12">
      <c r="A120" s="391">
        <v>2</v>
      </c>
      <c r="B120" s="392" t="s">
        <v>3061</v>
      </c>
      <c r="C120" s="393">
        <v>0</v>
      </c>
      <c r="D120" s="393">
        <v>0</v>
      </c>
      <c r="E120" s="393">
        <v>0</v>
      </c>
      <c r="F120" s="393">
        <v>0</v>
      </c>
      <c r="G120" s="394">
        <v>0</v>
      </c>
      <c r="H120" s="394">
        <v>0</v>
      </c>
      <c r="I120" s="389">
        <f>C120+E120+G120</f>
        <v>0</v>
      </c>
      <c r="J120" s="389">
        <f>D120+F120+H120</f>
        <v>0</v>
      </c>
      <c r="K120" s="394">
        <f>K115+I120</f>
        <v>1</v>
      </c>
      <c r="L120" s="398">
        <f>L115+J120</f>
        <v>750</v>
      </c>
    </row>
    <row r="121" spans="1:12" ht="15.75" thickBot="1">
      <c r="A121" s="1737" t="s">
        <v>3062</v>
      </c>
      <c r="B121" s="1738"/>
      <c r="C121" s="399">
        <f t="shared" ref="C121:L121" si="19">SUM(C119:C120)</f>
        <v>1</v>
      </c>
      <c r="D121" s="399">
        <f t="shared" si="19"/>
        <v>500</v>
      </c>
      <c r="E121" s="399">
        <f t="shared" si="19"/>
        <v>0</v>
      </c>
      <c r="F121" s="399">
        <f t="shared" si="19"/>
        <v>0</v>
      </c>
      <c r="G121" s="399">
        <f t="shared" si="19"/>
        <v>0</v>
      </c>
      <c r="H121" s="399">
        <f t="shared" si="19"/>
        <v>0</v>
      </c>
      <c r="I121" s="399">
        <f t="shared" si="19"/>
        <v>1</v>
      </c>
      <c r="J121" s="399">
        <f t="shared" si="19"/>
        <v>500</v>
      </c>
      <c r="K121" s="399">
        <f t="shared" si="19"/>
        <v>2</v>
      </c>
      <c r="L121" s="400">
        <f t="shared" si="19"/>
        <v>1250</v>
      </c>
    </row>
    <row r="124" spans="1:12">
      <c r="A124" s="1746" t="s">
        <v>3079</v>
      </c>
      <c r="B124" s="1746"/>
      <c r="C124" s="1746"/>
      <c r="D124" s="1746"/>
      <c r="E124" s="1746"/>
      <c r="F124" s="1746"/>
      <c r="G124" s="1746"/>
      <c r="H124" s="1746"/>
      <c r="I124" s="1746"/>
      <c r="J124" s="1746"/>
      <c r="K124" s="1746"/>
      <c r="L124" s="1746"/>
    </row>
    <row r="125" spans="1:12" ht="15.75" thickBot="1"/>
    <row r="126" spans="1:12">
      <c r="A126" s="1741" t="s">
        <v>3544</v>
      </c>
      <c r="B126" s="1747" t="s">
        <v>3052</v>
      </c>
      <c r="C126" s="1743" t="s">
        <v>3053</v>
      </c>
      <c r="D126" s="1740"/>
      <c r="E126" s="1744" t="s">
        <v>3054</v>
      </c>
      <c r="F126" s="1745"/>
      <c r="G126" s="1739" t="s">
        <v>3055</v>
      </c>
      <c r="H126" s="1740"/>
      <c r="I126" s="1739" t="s">
        <v>3056</v>
      </c>
      <c r="J126" s="1740"/>
      <c r="K126" s="1739" t="s">
        <v>3057</v>
      </c>
      <c r="L126" s="1749"/>
    </row>
    <row r="127" spans="1:12" ht="24.75" thickBot="1">
      <c r="A127" s="1742"/>
      <c r="B127" s="1748"/>
      <c r="C127" s="383" t="s">
        <v>3058</v>
      </c>
      <c r="D127" s="384" t="s">
        <v>3059</v>
      </c>
      <c r="E127" s="383" t="s">
        <v>3058</v>
      </c>
      <c r="F127" s="384" t="s">
        <v>3059</v>
      </c>
      <c r="G127" s="383" t="s">
        <v>3058</v>
      </c>
      <c r="H127" s="384" t="s">
        <v>3059</v>
      </c>
      <c r="I127" s="383" t="s">
        <v>3058</v>
      </c>
      <c r="J127" s="384" t="s">
        <v>3059</v>
      </c>
      <c r="K127" s="383" t="s">
        <v>3058</v>
      </c>
      <c r="L127" s="385" t="s">
        <v>3059</v>
      </c>
    </row>
    <row r="128" spans="1:12">
      <c r="A128" s="386">
        <v>1</v>
      </c>
      <c r="B128" s="387" t="s">
        <v>3060</v>
      </c>
      <c r="C128" s="388">
        <v>0</v>
      </c>
      <c r="D128" s="388">
        <v>0</v>
      </c>
      <c r="E128" s="388">
        <v>0</v>
      </c>
      <c r="F128" s="388">
        <v>0</v>
      </c>
      <c r="G128" s="389">
        <v>0</v>
      </c>
      <c r="H128" s="389">
        <v>0</v>
      </c>
      <c r="I128" s="389">
        <f>C128+E128+G128</f>
        <v>0</v>
      </c>
      <c r="J128" s="389">
        <f>D128+F128+H128</f>
        <v>0</v>
      </c>
      <c r="K128" s="389">
        <f>I128</f>
        <v>0</v>
      </c>
      <c r="L128" s="390">
        <f>J128</f>
        <v>0</v>
      </c>
    </row>
    <row r="129" spans="1:12">
      <c r="A129" s="391">
        <v>2</v>
      </c>
      <c r="B129" s="392" t="s">
        <v>3061</v>
      </c>
      <c r="C129" s="393">
        <v>0</v>
      </c>
      <c r="D129" s="393">
        <v>0</v>
      </c>
      <c r="E129" s="393">
        <v>0</v>
      </c>
      <c r="F129" s="393">
        <v>0</v>
      </c>
      <c r="G129" s="394">
        <v>0</v>
      </c>
      <c r="H129" s="394">
        <v>0</v>
      </c>
      <c r="I129" s="389">
        <f>C129+E129+G129</f>
        <v>0</v>
      </c>
      <c r="J129" s="389">
        <f>D129+F129+H129</f>
        <v>0</v>
      </c>
      <c r="K129" s="389">
        <f>I129</f>
        <v>0</v>
      </c>
      <c r="L129" s="390">
        <f>J129</f>
        <v>0</v>
      </c>
    </row>
    <row r="130" spans="1:12" ht="15.75" thickBot="1">
      <c r="A130" s="1750" t="s">
        <v>3062</v>
      </c>
      <c r="B130" s="1751"/>
      <c r="C130" s="395">
        <f t="shared" ref="C130:L130" si="20">SUM(C128:C129)</f>
        <v>0</v>
      </c>
      <c r="D130" s="395">
        <f t="shared" si="20"/>
        <v>0</v>
      </c>
      <c r="E130" s="395">
        <f t="shared" si="20"/>
        <v>0</v>
      </c>
      <c r="F130" s="395">
        <f t="shared" si="20"/>
        <v>0</v>
      </c>
      <c r="G130" s="395">
        <f t="shared" si="20"/>
        <v>0</v>
      </c>
      <c r="H130" s="395">
        <f t="shared" si="20"/>
        <v>0</v>
      </c>
      <c r="I130" s="395">
        <f t="shared" si="20"/>
        <v>0</v>
      </c>
      <c r="J130" s="395">
        <f t="shared" si="20"/>
        <v>0</v>
      </c>
      <c r="K130" s="395">
        <f t="shared" si="20"/>
        <v>0</v>
      </c>
      <c r="L130" s="396">
        <f t="shared" si="20"/>
        <v>0</v>
      </c>
    </row>
    <row r="131" spans="1:12">
      <c r="A131" s="1741" t="s">
        <v>3544</v>
      </c>
      <c r="B131" s="1747" t="s">
        <v>3052</v>
      </c>
      <c r="C131" s="1743" t="s">
        <v>3063</v>
      </c>
      <c r="D131" s="1740"/>
      <c r="E131" s="1744" t="s">
        <v>3064</v>
      </c>
      <c r="F131" s="1745"/>
      <c r="G131" s="1739" t="s">
        <v>3065</v>
      </c>
      <c r="H131" s="1740"/>
      <c r="I131" s="1739" t="s">
        <v>3066</v>
      </c>
      <c r="J131" s="1740"/>
      <c r="K131" s="1739" t="s">
        <v>3057</v>
      </c>
      <c r="L131" s="1749"/>
    </row>
    <row r="132" spans="1:12" ht="24.75" thickBot="1">
      <c r="A132" s="1742"/>
      <c r="B132" s="1748"/>
      <c r="C132" s="383" t="s">
        <v>3058</v>
      </c>
      <c r="D132" s="384" t="s">
        <v>3059</v>
      </c>
      <c r="E132" s="383" t="s">
        <v>3058</v>
      </c>
      <c r="F132" s="384" t="s">
        <v>3059</v>
      </c>
      <c r="G132" s="383" t="s">
        <v>3058</v>
      </c>
      <c r="H132" s="384" t="s">
        <v>3059</v>
      </c>
      <c r="I132" s="383" t="s">
        <v>3058</v>
      </c>
      <c r="J132" s="384" t="s">
        <v>3059</v>
      </c>
      <c r="K132" s="383" t="s">
        <v>3058</v>
      </c>
      <c r="L132" s="385" t="s">
        <v>3059</v>
      </c>
    </row>
    <row r="133" spans="1:12">
      <c r="A133" s="386">
        <v>1</v>
      </c>
      <c r="B133" s="387" t="s">
        <v>3060</v>
      </c>
      <c r="C133" s="388">
        <v>0</v>
      </c>
      <c r="D133" s="388">
        <v>0</v>
      </c>
      <c r="E133" s="388">
        <v>0</v>
      </c>
      <c r="F133" s="388">
        <v>0</v>
      </c>
      <c r="G133" s="389">
        <v>3</v>
      </c>
      <c r="H133" s="389">
        <v>3788.42</v>
      </c>
      <c r="I133" s="389">
        <f>C133+E133+G133</f>
        <v>3</v>
      </c>
      <c r="J133" s="389">
        <f>D133+F133+H133</f>
        <v>3788.42</v>
      </c>
      <c r="K133" s="389">
        <f>K128+I133</f>
        <v>3</v>
      </c>
      <c r="L133" s="397">
        <f>L128+J133</f>
        <v>3788.42</v>
      </c>
    </row>
    <row r="134" spans="1:12">
      <c r="A134" s="391">
        <v>2</v>
      </c>
      <c r="B134" s="392" t="s">
        <v>3061</v>
      </c>
      <c r="C134" s="393">
        <v>0</v>
      </c>
      <c r="D134" s="393">
        <v>0</v>
      </c>
      <c r="E134" s="393">
        <v>0</v>
      </c>
      <c r="F134" s="393">
        <v>0</v>
      </c>
      <c r="G134" s="394">
        <v>0</v>
      </c>
      <c r="H134" s="394">
        <v>0</v>
      </c>
      <c r="I134" s="389">
        <f>C134+E134+G134</f>
        <v>0</v>
      </c>
      <c r="J134" s="389">
        <f>D134+F134+H134</f>
        <v>0</v>
      </c>
      <c r="K134" s="394">
        <f>K129+I134</f>
        <v>0</v>
      </c>
      <c r="L134" s="398">
        <f>L129+J134</f>
        <v>0</v>
      </c>
    </row>
    <row r="135" spans="1:12" ht="15.75" thickBot="1">
      <c r="A135" s="1750" t="s">
        <v>3062</v>
      </c>
      <c r="B135" s="1751"/>
      <c r="C135" s="395">
        <f t="shared" ref="C135:L135" si="21">SUM(C133:C134)</f>
        <v>0</v>
      </c>
      <c r="D135" s="395">
        <f t="shared" si="21"/>
        <v>0</v>
      </c>
      <c r="E135" s="395">
        <f t="shared" si="21"/>
        <v>0</v>
      </c>
      <c r="F135" s="395">
        <f t="shared" si="21"/>
        <v>0</v>
      </c>
      <c r="G135" s="395">
        <f t="shared" si="21"/>
        <v>3</v>
      </c>
      <c r="H135" s="395">
        <f t="shared" si="21"/>
        <v>3788.42</v>
      </c>
      <c r="I135" s="395">
        <f t="shared" si="21"/>
        <v>3</v>
      </c>
      <c r="J135" s="395">
        <f t="shared" si="21"/>
        <v>3788.42</v>
      </c>
      <c r="K135" s="395">
        <f t="shared" si="21"/>
        <v>3</v>
      </c>
      <c r="L135" s="396">
        <f t="shared" si="21"/>
        <v>3788.42</v>
      </c>
    </row>
    <row r="136" spans="1:12">
      <c r="A136" s="1741" t="s">
        <v>3544</v>
      </c>
      <c r="B136" s="1747" t="s">
        <v>3052</v>
      </c>
      <c r="C136" s="1743" t="s">
        <v>3067</v>
      </c>
      <c r="D136" s="1740"/>
      <c r="E136" s="1744" t="s">
        <v>3068</v>
      </c>
      <c r="F136" s="1745"/>
      <c r="G136" s="1739" t="s">
        <v>3069</v>
      </c>
      <c r="H136" s="1740"/>
      <c r="I136" s="1739" t="s">
        <v>3070</v>
      </c>
      <c r="J136" s="1740"/>
      <c r="K136" s="1739" t="s">
        <v>3057</v>
      </c>
      <c r="L136" s="1749"/>
    </row>
    <row r="137" spans="1:12" ht="24.75" thickBot="1">
      <c r="A137" s="1742"/>
      <c r="B137" s="1748"/>
      <c r="C137" s="383" t="s">
        <v>3058</v>
      </c>
      <c r="D137" s="384" t="s">
        <v>3059</v>
      </c>
      <c r="E137" s="383" t="s">
        <v>3058</v>
      </c>
      <c r="F137" s="384" t="s">
        <v>3059</v>
      </c>
      <c r="G137" s="383" t="s">
        <v>3058</v>
      </c>
      <c r="H137" s="384" t="s">
        <v>3059</v>
      </c>
      <c r="I137" s="383" t="s">
        <v>3058</v>
      </c>
      <c r="J137" s="384" t="s">
        <v>3059</v>
      </c>
      <c r="K137" s="383" t="s">
        <v>3058</v>
      </c>
      <c r="L137" s="385" t="s">
        <v>3059</v>
      </c>
    </row>
    <row r="138" spans="1:12">
      <c r="A138" s="386">
        <v>1</v>
      </c>
      <c r="B138" s="387" t="s">
        <v>3060</v>
      </c>
      <c r="C138" s="388">
        <v>0</v>
      </c>
      <c r="D138" s="388">
        <v>0</v>
      </c>
      <c r="E138" s="388">
        <v>0</v>
      </c>
      <c r="F138" s="388">
        <v>0</v>
      </c>
      <c r="G138" s="389">
        <v>0</v>
      </c>
      <c r="H138" s="389">
        <v>0</v>
      </c>
      <c r="I138" s="389">
        <f>C138+E138+G138</f>
        <v>0</v>
      </c>
      <c r="J138" s="389">
        <f>D138+F138+H138</f>
        <v>0</v>
      </c>
      <c r="K138" s="389">
        <f>K133+I138</f>
        <v>3</v>
      </c>
      <c r="L138" s="397">
        <f>L133+J138</f>
        <v>3788.42</v>
      </c>
    </row>
    <row r="139" spans="1:12">
      <c r="A139" s="391">
        <v>2</v>
      </c>
      <c r="B139" s="392" t="s">
        <v>3061</v>
      </c>
      <c r="C139" s="393">
        <v>0</v>
      </c>
      <c r="D139" s="393">
        <v>0</v>
      </c>
      <c r="E139" s="393">
        <v>0</v>
      </c>
      <c r="F139" s="393">
        <v>0</v>
      </c>
      <c r="G139" s="394">
        <v>0</v>
      </c>
      <c r="H139" s="394">
        <v>0</v>
      </c>
      <c r="I139" s="389">
        <f>C139+E139+G139</f>
        <v>0</v>
      </c>
      <c r="J139" s="389">
        <f>D139+F139+H139</f>
        <v>0</v>
      </c>
      <c r="K139" s="394">
        <f>K134+I139</f>
        <v>0</v>
      </c>
      <c r="L139" s="398">
        <f>L134+J139</f>
        <v>0</v>
      </c>
    </row>
    <row r="140" spans="1:12" ht="15.75" thickBot="1">
      <c r="A140" s="1750" t="s">
        <v>3062</v>
      </c>
      <c r="B140" s="1751"/>
      <c r="C140" s="395">
        <f t="shared" ref="C140:L140" si="22">SUM(C138:C139)</f>
        <v>0</v>
      </c>
      <c r="D140" s="395">
        <f t="shared" si="22"/>
        <v>0</v>
      </c>
      <c r="E140" s="395">
        <f t="shared" si="22"/>
        <v>0</v>
      </c>
      <c r="F140" s="395">
        <f t="shared" si="22"/>
        <v>0</v>
      </c>
      <c r="G140" s="395">
        <f t="shared" si="22"/>
        <v>0</v>
      </c>
      <c r="H140" s="395">
        <f t="shared" si="22"/>
        <v>0</v>
      </c>
      <c r="I140" s="395">
        <f t="shared" si="22"/>
        <v>0</v>
      </c>
      <c r="J140" s="395">
        <f t="shared" si="22"/>
        <v>0</v>
      </c>
      <c r="K140" s="395">
        <f t="shared" si="22"/>
        <v>3</v>
      </c>
      <c r="L140" s="396">
        <f t="shared" si="22"/>
        <v>3788.42</v>
      </c>
    </row>
    <row r="141" spans="1:12">
      <c r="A141" s="1741" t="s">
        <v>3544</v>
      </c>
      <c r="B141" s="1747" t="s">
        <v>3052</v>
      </c>
      <c r="C141" s="1743" t="s">
        <v>3071</v>
      </c>
      <c r="D141" s="1740"/>
      <c r="E141" s="1744" t="s">
        <v>3072</v>
      </c>
      <c r="F141" s="1745"/>
      <c r="G141" s="1739" t="s">
        <v>3073</v>
      </c>
      <c r="H141" s="1740"/>
      <c r="I141" s="1739" t="s">
        <v>3074</v>
      </c>
      <c r="J141" s="1740"/>
      <c r="K141" s="1739" t="s">
        <v>3057</v>
      </c>
      <c r="L141" s="1749"/>
    </row>
    <row r="142" spans="1:12" ht="24.75" thickBot="1">
      <c r="A142" s="1742"/>
      <c r="B142" s="1748"/>
      <c r="C142" s="383" t="s">
        <v>3058</v>
      </c>
      <c r="D142" s="384" t="s">
        <v>3059</v>
      </c>
      <c r="E142" s="383" t="s">
        <v>3058</v>
      </c>
      <c r="F142" s="384" t="s">
        <v>3059</v>
      </c>
      <c r="G142" s="383" t="s">
        <v>3058</v>
      </c>
      <c r="H142" s="384" t="s">
        <v>3059</v>
      </c>
      <c r="I142" s="383" t="s">
        <v>3058</v>
      </c>
      <c r="J142" s="384" t="s">
        <v>3059</v>
      </c>
      <c r="K142" s="383" t="s">
        <v>3058</v>
      </c>
      <c r="L142" s="385" t="s">
        <v>3059</v>
      </c>
    </row>
    <row r="143" spans="1:12">
      <c r="A143" s="386">
        <v>1</v>
      </c>
      <c r="B143" s="387" t="s">
        <v>3060</v>
      </c>
      <c r="C143" s="388">
        <v>0</v>
      </c>
      <c r="D143" s="388">
        <v>0</v>
      </c>
      <c r="E143" s="388">
        <v>0</v>
      </c>
      <c r="F143" s="388">
        <v>0</v>
      </c>
      <c r="G143" s="389">
        <v>2</v>
      </c>
      <c r="H143" s="389">
        <v>970</v>
      </c>
      <c r="I143" s="389">
        <f>C143+E143+G143</f>
        <v>2</v>
      </c>
      <c r="J143" s="389">
        <f>D143+F143+H143</f>
        <v>970</v>
      </c>
      <c r="K143" s="389">
        <f>K138+I143</f>
        <v>5</v>
      </c>
      <c r="L143" s="397">
        <f>L138+J143</f>
        <v>4758.42</v>
      </c>
    </row>
    <row r="144" spans="1:12">
      <c r="A144" s="391">
        <v>2</v>
      </c>
      <c r="B144" s="392" t="s">
        <v>3061</v>
      </c>
      <c r="C144" s="393">
        <v>0</v>
      </c>
      <c r="D144" s="393">
        <v>0</v>
      </c>
      <c r="E144" s="393">
        <v>0</v>
      </c>
      <c r="F144" s="393">
        <v>0</v>
      </c>
      <c r="G144" s="394">
        <v>0</v>
      </c>
      <c r="H144" s="394">
        <v>0</v>
      </c>
      <c r="I144" s="389">
        <f>C144+E144+G144</f>
        <v>0</v>
      </c>
      <c r="J144" s="389">
        <f>D144+F144+H144</f>
        <v>0</v>
      </c>
      <c r="K144" s="394">
        <f>K139+I144</f>
        <v>0</v>
      </c>
      <c r="L144" s="398">
        <f>L139+J144</f>
        <v>0</v>
      </c>
    </row>
    <row r="145" spans="1:12" ht="15.75" thickBot="1">
      <c r="A145" s="1737" t="s">
        <v>3062</v>
      </c>
      <c r="B145" s="1738"/>
      <c r="C145" s="399">
        <f t="shared" ref="C145:L145" si="23">SUM(C143:C144)</f>
        <v>0</v>
      </c>
      <c r="D145" s="399">
        <f t="shared" si="23"/>
        <v>0</v>
      </c>
      <c r="E145" s="399">
        <f t="shared" si="23"/>
        <v>0</v>
      </c>
      <c r="F145" s="399">
        <f t="shared" si="23"/>
        <v>0</v>
      </c>
      <c r="G145" s="399">
        <f t="shared" si="23"/>
        <v>2</v>
      </c>
      <c r="H145" s="399">
        <f t="shared" si="23"/>
        <v>970</v>
      </c>
      <c r="I145" s="399">
        <f t="shared" si="23"/>
        <v>2</v>
      </c>
      <c r="J145" s="399">
        <f t="shared" si="23"/>
        <v>970</v>
      </c>
      <c r="K145" s="399">
        <f t="shared" si="23"/>
        <v>5</v>
      </c>
      <c r="L145" s="400">
        <f t="shared" si="23"/>
        <v>4758.42</v>
      </c>
    </row>
    <row r="148" spans="1:12">
      <c r="A148" s="1746" t="s">
        <v>3080</v>
      </c>
      <c r="B148" s="1746"/>
      <c r="C148" s="1746"/>
      <c r="D148" s="1746"/>
      <c r="E148" s="1746"/>
      <c r="F148" s="1746"/>
      <c r="G148" s="1746"/>
      <c r="H148" s="1746"/>
      <c r="I148" s="1746"/>
      <c r="J148" s="1746"/>
      <c r="K148" s="1746"/>
      <c r="L148" s="1746"/>
    </row>
    <row r="149" spans="1:12" ht="15.75" thickBot="1"/>
    <row r="150" spans="1:12">
      <c r="A150" s="1741" t="s">
        <v>3544</v>
      </c>
      <c r="B150" s="1747" t="s">
        <v>3052</v>
      </c>
      <c r="C150" s="1743" t="s">
        <v>3053</v>
      </c>
      <c r="D150" s="1740"/>
      <c r="E150" s="1744" t="s">
        <v>3054</v>
      </c>
      <c r="F150" s="1745"/>
      <c r="G150" s="1739" t="s">
        <v>3055</v>
      </c>
      <c r="H150" s="1740"/>
      <c r="I150" s="1739" t="s">
        <v>3056</v>
      </c>
      <c r="J150" s="1740"/>
      <c r="K150" s="1739" t="s">
        <v>3057</v>
      </c>
      <c r="L150" s="1749"/>
    </row>
    <row r="151" spans="1:12" ht="24.75" thickBot="1">
      <c r="A151" s="1742"/>
      <c r="B151" s="1748"/>
      <c r="C151" s="383" t="s">
        <v>3058</v>
      </c>
      <c r="D151" s="384" t="s">
        <v>3059</v>
      </c>
      <c r="E151" s="383" t="s">
        <v>3058</v>
      </c>
      <c r="F151" s="384" t="s">
        <v>3059</v>
      </c>
      <c r="G151" s="383" t="s">
        <v>3058</v>
      </c>
      <c r="H151" s="384" t="s">
        <v>3059</v>
      </c>
      <c r="I151" s="383" t="s">
        <v>3058</v>
      </c>
      <c r="J151" s="384" t="s">
        <v>3059</v>
      </c>
      <c r="K151" s="383" t="s">
        <v>3058</v>
      </c>
      <c r="L151" s="385" t="s">
        <v>3059</v>
      </c>
    </row>
    <row r="152" spans="1:12">
      <c r="A152" s="386">
        <v>1</v>
      </c>
      <c r="B152" s="387" t="s">
        <v>3060</v>
      </c>
      <c r="C152" s="388">
        <v>0</v>
      </c>
      <c r="D152" s="388">
        <v>0</v>
      </c>
      <c r="E152" s="388">
        <v>0</v>
      </c>
      <c r="F152" s="388">
        <v>0</v>
      </c>
      <c r="G152" s="389">
        <v>0</v>
      </c>
      <c r="H152" s="389">
        <v>0</v>
      </c>
      <c r="I152" s="389">
        <f>C152+E152+G152</f>
        <v>0</v>
      </c>
      <c r="J152" s="389">
        <f>D152+F152+H152</f>
        <v>0</v>
      </c>
      <c r="K152" s="389">
        <f>I152</f>
        <v>0</v>
      </c>
      <c r="L152" s="390">
        <f>J152</f>
        <v>0</v>
      </c>
    </row>
    <row r="153" spans="1:12">
      <c r="A153" s="391">
        <v>2</v>
      </c>
      <c r="B153" s="392" t="s">
        <v>3061</v>
      </c>
      <c r="C153" s="393">
        <v>0</v>
      </c>
      <c r="D153" s="393">
        <v>0</v>
      </c>
      <c r="E153" s="393">
        <v>0</v>
      </c>
      <c r="F153" s="393">
        <v>0</v>
      </c>
      <c r="G153" s="394">
        <v>0</v>
      </c>
      <c r="H153" s="394">
        <v>0</v>
      </c>
      <c r="I153" s="389">
        <f>C153+E153+G153</f>
        <v>0</v>
      </c>
      <c r="J153" s="389">
        <f>D153+F153+H153</f>
        <v>0</v>
      </c>
      <c r="K153" s="389">
        <f>I153</f>
        <v>0</v>
      </c>
      <c r="L153" s="390">
        <f>J153</f>
        <v>0</v>
      </c>
    </row>
    <row r="154" spans="1:12" ht="15.75" thickBot="1">
      <c r="A154" s="1750" t="s">
        <v>3062</v>
      </c>
      <c r="B154" s="1751"/>
      <c r="C154" s="395">
        <f t="shared" ref="C154:L154" si="24">SUM(C152:C153)</f>
        <v>0</v>
      </c>
      <c r="D154" s="395">
        <f t="shared" si="24"/>
        <v>0</v>
      </c>
      <c r="E154" s="395">
        <f t="shared" si="24"/>
        <v>0</v>
      </c>
      <c r="F154" s="395">
        <f t="shared" si="24"/>
        <v>0</v>
      </c>
      <c r="G154" s="395">
        <f t="shared" si="24"/>
        <v>0</v>
      </c>
      <c r="H154" s="395">
        <f t="shared" si="24"/>
        <v>0</v>
      </c>
      <c r="I154" s="395">
        <f t="shared" si="24"/>
        <v>0</v>
      </c>
      <c r="J154" s="395">
        <f t="shared" si="24"/>
        <v>0</v>
      </c>
      <c r="K154" s="395">
        <f t="shared" si="24"/>
        <v>0</v>
      </c>
      <c r="L154" s="396">
        <f t="shared" si="24"/>
        <v>0</v>
      </c>
    </row>
    <row r="155" spans="1:12">
      <c r="A155" s="1741" t="s">
        <v>3544</v>
      </c>
      <c r="B155" s="1747" t="s">
        <v>3052</v>
      </c>
      <c r="C155" s="1743" t="s">
        <v>3063</v>
      </c>
      <c r="D155" s="1740"/>
      <c r="E155" s="1744" t="s">
        <v>3064</v>
      </c>
      <c r="F155" s="1745"/>
      <c r="G155" s="1739" t="s">
        <v>3065</v>
      </c>
      <c r="H155" s="1740"/>
      <c r="I155" s="1739" t="s">
        <v>3066</v>
      </c>
      <c r="J155" s="1740"/>
      <c r="K155" s="1739" t="s">
        <v>3057</v>
      </c>
      <c r="L155" s="1749"/>
    </row>
    <row r="156" spans="1:12" ht="24.75" thickBot="1">
      <c r="A156" s="1742"/>
      <c r="B156" s="1748"/>
      <c r="C156" s="383" t="s">
        <v>3058</v>
      </c>
      <c r="D156" s="384" t="s">
        <v>3059</v>
      </c>
      <c r="E156" s="383" t="s">
        <v>3058</v>
      </c>
      <c r="F156" s="384" t="s">
        <v>3059</v>
      </c>
      <c r="G156" s="383" t="s">
        <v>3058</v>
      </c>
      <c r="H156" s="384" t="s">
        <v>3059</v>
      </c>
      <c r="I156" s="383" t="s">
        <v>3058</v>
      </c>
      <c r="J156" s="384" t="s">
        <v>3059</v>
      </c>
      <c r="K156" s="383" t="s">
        <v>3058</v>
      </c>
      <c r="L156" s="385" t="s">
        <v>3059</v>
      </c>
    </row>
    <row r="157" spans="1:12">
      <c r="A157" s="386">
        <v>1</v>
      </c>
      <c r="B157" s="387" t="s">
        <v>3060</v>
      </c>
      <c r="C157" s="388">
        <v>0</v>
      </c>
      <c r="D157" s="388">
        <v>0</v>
      </c>
      <c r="E157" s="388">
        <v>1</v>
      </c>
      <c r="F157" s="388">
        <v>12000</v>
      </c>
      <c r="G157" s="389">
        <v>0</v>
      </c>
      <c r="H157" s="389">
        <v>0</v>
      </c>
      <c r="I157" s="389">
        <f>C157+E157+G157</f>
        <v>1</v>
      </c>
      <c r="J157" s="389">
        <f>D157+F157+H157</f>
        <v>12000</v>
      </c>
      <c r="K157" s="389">
        <f>K152+I157</f>
        <v>1</v>
      </c>
      <c r="L157" s="397">
        <f>L152+J157</f>
        <v>12000</v>
      </c>
    </row>
    <row r="158" spans="1:12">
      <c r="A158" s="391">
        <v>2</v>
      </c>
      <c r="B158" s="392" t="s">
        <v>3061</v>
      </c>
      <c r="C158" s="393">
        <v>0</v>
      </c>
      <c r="D158" s="393">
        <v>0</v>
      </c>
      <c r="E158" s="393">
        <v>0</v>
      </c>
      <c r="F158" s="393">
        <v>0</v>
      </c>
      <c r="G158" s="394">
        <v>0</v>
      </c>
      <c r="H158" s="394">
        <v>0</v>
      </c>
      <c r="I158" s="389">
        <f>C158+E158+G158</f>
        <v>0</v>
      </c>
      <c r="J158" s="389">
        <f>D158+F158+H158</f>
        <v>0</v>
      </c>
      <c r="K158" s="394">
        <f>K153+I158</f>
        <v>0</v>
      </c>
      <c r="L158" s="398">
        <f>L153+J158</f>
        <v>0</v>
      </c>
    </row>
    <row r="159" spans="1:12" ht="15.75" thickBot="1">
      <c r="A159" s="1750" t="s">
        <v>3062</v>
      </c>
      <c r="B159" s="1751"/>
      <c r="C159" s="395">
        <f t="shared" ref="C159:L159" si="25">SUM(C157:C158)</f>
        <v>0</v>
      </c>
      <c r="D159" s="395">
        <f t="shared" si="25"/>
        <v>0</v>
      </c>
      <c r="E159" s="395">
        <f t="shared" si="25"/>
        <v>1</v>
      </c>
      <c r="F159" s="395">
        <f t="shared" si="25"/>
        <v>12000</v>
      </c>
      <c r="G159" s="395">
        <f t="shared" si="25"/>
        <v>0</v>
      </c>
      <c r="H159" s="395">
        <f t="shared" si="25"/>
        <v>0</v>
      </c>
      <c r="I159" s="395">
        <f t="shared" si="25"/>
        <v>1</v>
      </c>
      <c r="J159" s="395">
        <f t="shared" si="25"/>
        <v>12000</v>
      </c>
      <c r="K159" s="395">
        <f t="shared" si="25"/>
        <v>1</v>
      </c>
      <c r="L159" s="396">
        <f t="shared" si="25"/>
        <v>12000</v>
      </c>
    </row>
    <row r="160" spans="1:12">
      <c r="A160" s="1741" t="s">
        <v>3544</v>
      </c>
      <c r="B160" s="1747" t="s">
        <v>3052</v>
      </c>
      <c r="C160" s="1743" t="s">
        <v>3067</v>
      </c>
      <c r="D160" s="1740"/>
      <c r="E160" s="1744" t="s">
        <v>3068</v>
      </c>
      <c r="F160" s="1745"/>
      <c r="G160" s="1739" t="s">
        <v>3069</v>
      </c>
      <c r="H160" s="1740"/>
      <c r="I160" s="1739" t="s">
        <v>3070</v>
      </c>
      <c r="J160" s="1740"/>
      <c r="K160" s="1739" t="s">
        <v>3057</v>
      </c>
      <c r="L160" s="1749"/>
    </row>
    <row r="161" spans="1:12" ht="24.75" thickBot="1">
      <c r="A161" s="1742"/>
      <c r="B161" s="1748"/>
      <c r="C161" s="383" t="s">
        <v>3058</v>
      </c>
      <c r="D161" s="384" t="s">
        <v>3059</v>
      </c>
      <c r="E161" s="383" t="s">
        <v>3058</v>
      </c>
      <c r="F161" s="384" t="s">
        <v>3059</v>
      </c>
      <c r="G161" s="383" t="s">
        <v>3058</v>
      </c>
      <c r="H161" s="384" t="s">
        <v>3059</v>
      </c>
      <c r="I161" s="383" t="s">
        <v>3058</v>
      </c>
      <c r="J161" s="384" t="s">
        <v>3059</v>
      </c>
      <c r="K161" s="383" t="s">
        <v>3058</v>
      </c>
      <c r="L161" s="385" t="s">
        <v>3059</v>
      </c>
    </row>
    <row r="162" spans="1:12">
      <c r="A162" s="386">
        <v>1</v>
      </c>
      <c r="B162" s="387" t="s">
        <v>3060</v>
      </c>
      <c r="C162" s="388">
        <v>0</v>
      </c>
      <c r="D162" s="388">
        <v>0</v>
      </c>
      <c r="E162" s="388">
        <v>0</v>
      </c>
      <c r="F162" s="388">
        <v>0</v>
      </c>
      <c r="G162" s="389">
        <v>1</v>
      </c>
      <c r="H162" s="389">
        <v>35</v>
      </c>
      <c r="I162" s="389">
        <f>C162+E162+G162</f>
        <v>1</v>
      </c>
      <c r="J162" s="389">
        <f>D162+F162+H162</f>
        <v>35</v>
      </c>
      <c r="K162" s="389">
        <f>K157+I162</f>
        <v>2</v>
      </c>
      <c r="L162" s="397">
        <f>L157+J162</f>
        <v>12035</v>
      </c>
    </row>
    <row r="163" spans="1:12">
      <c r="A163" s="391">
        <v>2</v>
      </c>
      <c r="B163" s="392" t="s">
        <v>3061</v>
      </c>
      <c r="C163" s="393">
        <v>0</v>
      </c>
      <c r="D163" s="393">
        <v>0</v>
      </c>
      <c r="E163" s="393">
        <v>0</v>
      </c>
      <c r="F163" s="393">
        <v>0</v>
      </c>
      <c r="G163" s="394">
        <v>0</v>
      </c>
      <c r="H163" s="394">
        <v>0</v>
      </c>
      <c r="I163" s="389">
        <f>C163+E163+G163</f>
        <v>0</v>
      </c>
      <c r="J163" s="389">
        <f>D163+F163+H163</f>
        <v>0</v>
      </c>
      <c r="K163" s="394">
        <f>K158+I163</f>
        <v>0</v>
      </c>
      <c r="L163" s="398">
        <f>L158+J163</f>
        <v>0</v>
      </c>
    </row>
    <row r="164" spans="1:12" ht="15.75" thickBot="1">
      <c r="A164" s="1750" t="s">
        <v>3062</v>
      </c>
      <c r="B164" s="1751"/>
      <c r="C164" s="395">
        <f t="shared" ref="C164:L164" si="26">SUM(C162:C163)</f>
        <v>0</v>
      </c>
      <c r="D164" s="395">
        <f t="shared" si="26"/>
        <v>0</v>
      </c>
      <c r="E164" s="395">
        <f t="shared" si="26"/>
        <v>0</v>
      </c>
      <c r="F164" s="395">
        <f t="shared" si="26"/>
        <v>0</v>
      </c>
      <c r="G164" s="395">
        <f t="shared" si="26"/>
        <v>1</v>
      </c>
      <c r="H164" s="395">
        <f t="shared" si="26"/>
        <v>35</v>
      </c>
      <c r="I164" s="395">
        <f t="shared" si="26"/>
        <v>1</v>
      </c>
      <c r="J164" s="395">
        <f t="shared" si="26"/>
        <v>35</v>
      </c>
      <c r="K164" s="395">
        <f t="shared" si="26"/>
        <v>2</v>
      </c>
      <c r="L164" s="396">
        <f t="shared" si="26"/>
        <v>12035</v>
      </c>
    </row>
    <row r="165" spans="1:12">
      <c r="A165" s="1741" t="s">
        <v>3544</v>
      </c>
      <c r="B165" s="1747" t="s">
        <v>3052</v>
      </c>
      <c r="C165" s="1743" t="s">
        <v>3071</v>
      </c>
      <c r="D165" s="1740"/>
      <c r="E165" s="1744" t="s">
        <v>3072</v>
      </c>
      <c r="F165" s="1745"/>
      <c r="G165" s="1739" t="s">
        <v>3073</v>
      </c>
      <c r="H165" s="1740"/>
      <c r="I165" s="1739" t="s">
        <v>3074</v>
      </c>
      <c r="J165" s="1740"/>
      <c r="K165" s="1739" t="s">
        <v>3057</v>
      </c>
      <c r="L165" s="1749"/>
    </row>
    <row r="166" spans="1:12" ht="24.75" thickBot="1">
      <c r="A166" s="1742"/>
      <c r="B166" s="1748"/>
      <c r="C166" s="383" t="s">
        <v>3058</v>
      </c>
      <c r="D166" s="384" t="s">
        <v>3059</v>
      </c>
      <c r="E166" s="383" t="s">
        <v>3058</v>
      </c>
      <c r="F166" s="384" t="s">
        <v>3059</v>
      </c>
      <c r="G166" s="383" t="s">
        <v>3058</v>
      </c>
      <c r="H166" s="384" t="s">
        <v>3059</v>
      </c>
      <c r="I166" s="383" t="s">
        <v>3058</v>
      </c>
      <c r="J166" s="384" t="s">
        <v>3059</v>
      </c>
      <c r="K166" s="383" t="s">
        <v>3058</v>
      </c>
      <c r="L166" s="385" t="s">
        <v>3059</v>
      </c>
    </row>
    <row r="167" spans="1:12">
      <c r="A167" s="386">
        <v>1</v>
      </c>
      <c r="B167" s="387" t="s">
        <v>3060</v>
      </c>
      <c r="C167" s="388">
        <v>0</v>
      </c>
      <c r="D167" s="388">
        <v>0</v>
      </c>
      <c r="E167" s="388">
        <v>0</v>
      </c>
      <c r="F167" s="388">
        <v>0</v>
      </c>
      <c r="G167" s="389">
        <v>0</v>
      </c>
      <c r="H167" s="389">
        <v>0</v>
      </c>
      <c r="I167" s="389">
        <f>C167+E167+G167</f>
        <v>0</v>
      </c>
      <c r="J167" s="389">
        <f>D167+F167+H167</f>
        <v>0</v>
      </c>
      <c r="K167" s="389">
        <f>K162+I167</f>
        <v>2</v>
      </c>
      <c r="L167" s="397">
        <f>L162+J167</f>
        <v>12035</v>
      </c>
    </row>
    <row r="168" spans="1:12">
      <c r="A168" s="391">
        <v>2</v>
      </c>
      <c r="B168" s="392" t="s">
        <v>3061</v>
      </c>
      <c r="C168" s="393">
        <v>0</v>
      </c>
      <c r="D168" s="393">
        <v>0</v>
      </c>
      <c r="E168" s="393">
        <v>0</v>
      </c>
      <c r="F168" s="393">
        <v>0</v>
      </c>
      <c r="G168" s="394">
        <v>0</v>
      </c>
      <c r="H168" s="394">
        <v>0</v>
      </c>
      <c r="I168" s="389">
        <f>C168+E168+G168</f>
        <v>0</v>
      </c>
      <c r="J168" s="389">
        <f>D168+F168+H168</f>
        <v>0</v>
      </c>
      <c r="K168" s="394">
        <f>K163+I168</f>
        <v>0</v>
      </c>
      <c r="L168" s="398">
        <f>L163+J168</f>
        <v>0</v>
      </c>
    </row>
    <row r="169" spans="1:12" ht="15.75" thickBot="1">
      <c r="A169" s="1737" t="s">
        <v>3062</v>
      </c>
      <c r="B169" s="1738"/>
      <c r="C169" s="399">
        <f t="shared" ref="C169:L169" si="27">SUM(C167:C168)</f>
        <v>0</v>
      </c>
      <c r="D169" s="399">
        <f t="shared" si="27"/>
        <v>0</v>
      </c>
      <c r="E169" s="399">
        <f t="shared" si="27"/>
        <v>0</v>
      </c>
      <c r="F169" s="399">
        <f t="shared" si="27"/>
        <v>0</v>
      </c>
      <c r="G169" s="399">
        <f t="shared" si="27"/>
        <v>0</v>
      </c>
      <c r="H169" s="399">
        <f t="shared" si="27"/>
        <v>0</v>
      </c>
      <c r="I169" s="399">
        <f t="shared" si="27"/>
        <v>0</v>
      </c>
      <c r="J169" s="399">
        <f t="shared" si="27"/>
        <v>0</v>
      </c>
      <c r="K169" s="399">
        <f t="shared" si="27"/>
        <v>2</v>
      </c>
      <c r="L169" s="400">
        <f t="shared" si="27"/>
        <v>12035</v>
      </c>
    </row>
    <row r="172" spans="1:12">
      <c r="A172" s="1746" t="s">
        <v>3081</v>
      </c>
      <c r="B172" s="1746"/>
      <c r="C172" s="1746"/>
      <c r="D172" s="1746"/>
      <c r="E172" s="1746"/>
      <c r="F172" s="1746"/>
      <c r="G172" s="1746"/>
      <c r="H172" s="1746"/>
      <c r="I172" s="1746"/>
      <c r="J172" s="1746"/>
      <c r="K172" s="1746"/>
      <c r="L172" s="1746"/>
    </row>
    <row r="173" spans="1:12" ht="15.75" thickBot="1"/>
    <row r="174" spans="1:12">
      <c r="A174" s="1741" t="s">
        <v>3544</v>
      </c>
      <c r="B174" s="1747" t="s">
        <v>3052</v>
      </c>
      <c r="C174" s="1743" t="s">
        <v>3053</v>
      </c>
      <c r="D174" s="1740"/>
      <c r="E174" s="1744" t="s">
        <v>3054</v>
      </c>
      <c r="F174" s="1745"/>
      <c r="G174" s="1739" t="s">
        <v>3055</v>
      </c>
      <c r="H174" s="1740"/>
      <c r="I174" s="1739" t="s">
        <v>3056</v>
      </c>
      <c r="J174" s="1740"/>
      <c r="K174" s="1739" t="s">
        <v>3057</v>
      </c>
      <c r="L174" s="1749"/>
    </row>
    <row r="175" spans="1:12" ht="24.75" thickBot="1">
      <c r="A175" s="1742"/>
      <c r="B175" s="1748"/>
      <c r="C175" s="383" t="s">
        <v>3058</v>
      </c>
      <c r="D175" s="384" t="s">
        <v>3059</v>
      </c>
      <c r="E175" s="383" t="s">
        <v>3058</v>
      </c>
      <c r="F175" s="384" t="s">
        <v>3059</v>
      </c>
      <c r="G175" s="383" t="s">
        <v>3058</v>
      </c>
      <c r="H175" s="384" t="s">
        <v>3059</v>
      </c>
      <c r="I175" s="383" t="s">
        <v>3058</v>
      </c>
      <c r="J175" s="384" t="s">
        <v>3059</v>
      </c>
      <c r="K175" s="383" t="s">
        <v>3058</v>
      </c>
      <c r="L175" s="385" t="s">
        <v>3059</v>
      </c>
    </row>
    <row r="176" spans="1:12">
      <c r="A176" s="386">
        <v>1</v>
      </c>
      <c r="B176" s="387" t="s">
        <v>3060</v>
      </c>
      <c r="C176" s="388">
        <v>0</v>
      </c>
      <c r="D176" s="388">
        <v>0</v>
      </c>
      <c r="E176" s="388">
        <v>0</v>
      </c>
      <c r="F176" s="388">
        <v>0</v>
      </c>
      <c r="G176" s="389">
        <v>0</v>
      </c>
      <c r="H176" s="389">
        <v>0</v>
      </c>
      <c r="I176" s="389">
        <f>C176+E176+G176</f>
        <v>0</v>
      </c>
      <c r="J176" s="389">
        <f>D176+F176+H176</f>
        <v>0</v>
      </c>
      <c r="K176" s="389">
        <f>I176</f>
        <v>0</v>
      </c>
      <c r="L176" s="390">
        <f>J176</f>
        <v>0</v>
      </c>
    </row>
    <row r="177" spans="1:12">
      <c r="A177" s="391">
        <v>2</v>
      </c>
      <c r="B177" s="392" t="s">
        <v>3061</v>
      </c>
      <c r="C177" s="393">
        <v>0</v>
      </c>
      <c r="D177" s="393">
        <v>0</v>
      </c>
      <c r="E177" s="393">
        <v>0</v>
      </c>
      <c r="F177" s="393">
        <v>0</v>
      </c>
      <c r="G177" s="394">
        <v>0</v>
      </c>
      <c r="H177" s="394">
        <v>0</v>
      </c>
      <c r="I177" s="389">
        <f>C177+E177+G177</f>
        <v>0</v>
      </c>
      <c r="J177" s="389">
        <f>D177+F177+H177</f>
        <v>0</v>
      </c>
      <c r="K177" s="389">
        <f>I177</f>
        <v>0</v>
      </c>
      <c r="L177" s="390">
        <f>J177</f>
        <v>0</v>
      </c>
    </row>
    <row r="178" spans="1:12" ht="15.75" thickBot="1">
      <c r="A178" s="1750" t="s">
        <v>3062</v>
      </c>
      <c r="B178" s="1751"/>
      <c r="C178" s="395">
        <f t="shared" ref="C178:L178" si="28">SUM(C176:C177)</f>
        <v>0</v>
      </c>
      <c r="D178" s="395">
        <f t="shared" si="28"/>
        <v>0</v>
      </c>
      <c r="E178" s="395">
        <f t="shared" si="28"/>
        <v>0</v>
      </c>
      <c r="F178" s="395">
        <f t="shared" si="28"/>
        <v>0</v>
      </c>
      <c r="G178" s="395">
        <f t="shared" si="28"/>
        <v>0</v>
      </c>
      <c r="H178" s="395">
        <f t="shared" si="28"/>
        <v>0</v>
      </c>
      <c r="I178" s="395">
        <f t="shared" si="28"/>
        <v>0</v>
      </c>
      <c r="J178" s="395">
        <f t="shared" si="28"/>
        <v>0</v>
      </c>
      <c r="K178" s="395">
        <f t="shared" si="28"/>
        <v>0</v>
      </c>
      <c r="L178" s="396">
        <f t="shared" si="28"/>
        <v>0</v>
      </c>
    </row>
    <row r="179" spans="1:12">
      <c r="A179" s="1741" t="s">
        <v>3544</v>
      </c>
      <c r="B179" s="1747" t="s">
        <v>3052</v>
      </c>
      <c r="C179" s="1743" t="s">
        <v>3063</v>
      </c>
      <c r="D179" s="1740"/>
      <c r="E179" s="1744" t="s">
        <v>3064</v>
      </c>
      <c r="F179" s="1745"/>
      <c r="G179" s="1739" t="s">
        <v>3065</v>
      </c>
      <c r="H179" s="1740"/>
      <c r="I179" s="1739" t="s">
        <v>3066</v>
      </c>
      <c r="J179" s="1740"/>
      <c r="K179" s="1739" t="s">
        <v>3057</v>
      </c>
      <c r="L179" s="1749"/>
    </row>
    <row r="180" spans="1:12" ht="24.75" thickBot="1">
      <c r="A180" s="1742"/>
      <c r="B180" s="1748"/>
      <c r="C180" s="383" t="s">
        <v>3058</v>
      </c>
      <c r="D180" s="384" t="s">
        <v>3059</v>
      </c>
      <c r="E180" s="383" t="s">
        <v>3058</v>
      </c>
      <c r="F180" s="384" t="s">
        <v>3059</v>
      </c>
      <c r="G180" s="383" t="s">
        <v>3058</v>
      </c>
      <c r="H180" s="384" t="s">
        <v>3059</v>
      </c>
      <c r="I180" s="383" t="s">
        <v>3058</v>
      </c>
      <c r="J180" s="384" t="s">
        <v>3059</v>
      </c>
      <c r="K180" s="383" t="s">
        <v>3058</v>
      </c>
      <c r="L180" s="385" t="s">
        <v>3059</v>
      </c>
    </row>
    <row r="181" spans="1:12">
      <c r="A181" s="386">
        <v>1</v>
      </c>
      <c r="B181" s="387" t="s">
        <v>3060</v>
      </c>
      <c r="C181" s="388">
        <v>0</v>
      </c>
      <c r="D181" s="388">
        <v>0</v>
      </c>
      <c r="E181" s="388">
        <v>0</v>
      </c>
      <c r="F181" s="388">
        <v>0</v>
      </c>
      <c r="G181" s="389">
        <v>1</v>
      </c>
      <c r="H181" s="389">
        <v>1284.8800000000001</v>
      </c>
      <c r="I181" s="389">
        <f>C181+E181+G181</f>
        <v>1</v>
      </c>
      <c r="J181" s="389">
        <f>D181+F181+H181</f>
        <v>1284.8800000000001</v>
      </c>
      <c r="K181" s="389">
        <f>K176+I181</f>
        <v>1</v>
      </c>
      <c r="L181" s="397">
        <f>L176+J181</f>
        <v>1284.8800000000001</v>
      </c>
    </row>
    <row r="182" spans="1:12">
      <c r="A182" s="391">
        <v>2</v>
      </c>
      <c r="B182" s="392" t="s">
        <v>3061</v>
      </c>
      <c r="C182" s="393">
        <v>0</v>
      </c>
      <c r="D182" s="393">
        <v>0</v>
      </c>
      <c r="E182" s="393">
        <v>0</v>
      </c>
      <c r="F182" s="393">
        <v>0</v>
      </c>
      <c r="G182" s="394">
        <v>0</v>
      </c>
      <c r="H182" s="394">
        <v>0</v>
      </c>
      <c r="I182" s="389">
        <f>C182+E182+G182</f>
        <v>0</v>
      </c>
      <c r="J182" s="389">
        <f>D182+F182+H182</f>
        <v>0</v>
      </c>
      <c r="K182" s="394">
        <f>K177+I182</f>
        <v>0</v>
      </c>
      <c r="L182" s="398">
        <f>L177+J182</f>
        <v>0</v>
      </c>
    </row>
    <row r="183" spans="1:12" ht="15.75" thickBot="1">
      <c r="A183" s="1750" t="s">
        <v>3062</v>
      </c>
      <c r="B183" s="1751"/>
      <c r="C183" s="395">
        <f t="shared" ref="C183:L183" si="29">SUM(C181:C182)</f>
        <v>0</v>
      </c>
      <c r="D183" s="395">
        <f t="shared" si="29"/>
        <v>0</v>
      </c>
      <c r="E183" s="395">
        <f t="shared" si="29"/>
        <v>0</v>
      </c>
      <c r="F183" s="395">
        <f t="shared" si="29"/>
        <v>0</v>
      </c>
      <c r="G183" s="395">
        <f t="shared" si="29"/>
        <v>1</v>
      </c>
      <c r="H183" s="395">
        <f t="shared" si="29"/>
        <v>1284.8800000000001</v>
      </c>
      <c r="I183" s="395">
        <f t="shared" si="29"/>
        <v>1</v>
      </c>
      <c r="J183" s="395">
        <f t="shared" si="29"/>
        <v>1284.8800000000001</v>
      </c>
      <c r="K183" s="395">
        <f t="shared" si="29"/>
        <v>1</v>
      </c>
      <c r="L183" s="396">
        <f t="shared" si="29"/>
        <v>1284.8800000000001</v>
      </c>
    </row>
    <row r="184" spans="1:12">
      <c r="A184" s="1741" t="s">
        <v>3544</v>
      </c>
      <c r="B184" s="1747" t="s">
        <v>3052</v>
      </c>
      <c r="C184" s="1743" t="s">
        <v>3067</v>
      </c>
      <c r="D184" s="1740"/>
      <c r="E184" s="1744" t="s">
        <v>3068</v>
      </c>
      <c r="F184" s="1745"/>
      <c r="G184" s="1739" t="s">
        <v>3069</v>
      </c>
      <c r="H184" s="1740"/>
      <c r="I184" s="1739" t="s">
        <v>3070</v>
      </c>
      <c r="J184" s="1740"/>
      <c r="K184" s="1739" t="s">
        <v>3057</v>
      </c>
      <c r="L184" s="1749"/>
    </row>
    <row r="185" spans="1:12" ht="24.75" thickBot="1">
      <c r="A185" s="1742"/>
      <c r="B185" s="1748"/>
      <c r="C185" s="383" t="s">
        <v>3058</v>
      </c>
      <c r="D185" s="384" t="s">
        <v>3059</v>
      </c>
      <c r="E185" s="383" t="s">
        <v>3058</v>
      </c>
      <c r="F185" s="384" t="s">
        <v>3059</v>
      </c>
      <c r="G185" s="383" t="s">
        <v>3058</v>
      </c>
      <c r="H185" s="384" t="s">
        <v>3059</v>
      </c>
      <c r="I185" s="383" t="s">
        <v>3058</v>
      </c>
      <c r="J185" s="384" t="s">
        <v>3059</v>
      </c>
      <c r="K185" s="383" t="s">
        <v>3058</v>
      </c>
      <c r="L185" s="385" t="s">
        <v>3059</v>
      </c>
    </row>
    <row r="186" spans="1:12">
      <c r="A186" s="386">
        <v>1</v>
      </c>
      <c r="B186" s="387" t="s">
        <v>3060</v>
      </c>
      <c r="C186" s="388">
        <v>0</v>
      </c>
      <c r="D186" s="388">
        <v>0</v>
      </c>
      <c r="E186" s="388">
        <v>1</v>
      </c>
      <c r="F186" s="388">
        <v>50</v>
      </c>
      <c r="G186" s="389">
        <v>1</v>
      </c>
      <c r="H186" s="389">
        <v>130</v>
      </c>
      <c r="I186" s="389">
        <f>C186+E186+G186</f>
        <v>2</v>
      </c>
      <c r="J186" s="389">
        <f>D186+F186+H186</f>
        <v>180</v>
      </c>
      <c r="K186" s="389">
        <f>K181+I186</f>
        <v>3</v>
      </c>
      <c r="L186" s="397">
        <f>L181+J186</f>
        <v>1464.88</v>
      </c>
    </row>
    <row r="187" spans="1:12">
      <c r="A187" s="391">
        <v>2</v>
      </c>
      <c r="B187" s="392" t="s">
        <v>3061</v>
      </c>
      <c r="C187" s="393">
        <v>0</v>
      </c>
      <c r="D187" s="393">
        <v>0</v>
      </c>
      <c r="E187" s="393">
        <v>0</v>
      </c>
      <c r="F187" s="393">
        <v>0</v>
      </c>
      <c r="G187" s="394">
        <v>0</v>
      </c>
      <c r="H187" s="394">
        <v>0</v>
      </c>
      <c r="I187" s="389">
        <f>C187+E187+G187</f>
        <v>0</v>
      </c>
      <c r="J187" s="389">
        <f>D187+F187+H187</f>
        <v>0</v>
      </c>
      <c r="K187" s="394">
        <f>K182+I187</f>
        <v>0</v>
      </c>
      <c r="L187" s="398">
        <f>L182+J187</f>
        <v>0</v>
      </c>
    </row>
    <row r="188" spans="1:12" ht="15.75" thickBot="1">
      <c r="A188" s="1750" t="s">
        <v>3062</v>
      </c>
      <c r="B188" s="1751"/>
      <c r="C188" s="395">
        <f t="shared" ref="C188:L188" si="30">SUM(C186:C187)</f>
        <v>0</v>
      </c>
      <c r="D188" s="395">
        <f t="shared" si="30"/>
        <v>0</v>
      </c>
      <c r="E188" s="395">
        <f t="shared" si="30"/>
        <v>1</v>
      </c>
      <c r="F188" s="395">
        <f t="shared" si="30"/>
        <v>50</v>
      </c>
      <c r="G188" s="395">
        <f t="shared" si="30"/>
        <v>1</v>
      </c>
      <c r="H188" s="395">
        <f t="shared" si="30"/>
        <v>130</v>
      </c>
      <c r="I188" s="395">
        <f t="shared" si="30"/>
        <v>2</v>
      </c>
      <c r="J188" s="395">
        <f t="shared" si="30"/>
        <v>180</v>
      </c>
      <c r="K188" s="395">
        <f t="shared" si="30"/>
        <v>3</v>
      </c>
      <c r="L188" s="396">
        <f t="shared" si="30"/>
        <v>1464.88</v>
      </c>
    </row>
    <row r="189" spans="1:12">
      <c r="A189" s="1741" t="s">
        <v>3544</v>
      </c>
      <c r="B189" s="1747" t="s">
        <v>3052</v>
      </c>
      <c r="C189" s="1743" t="s">
        <v>3071</v>
      </c>
      <c r="D189" s="1740"/>
      <c r="E189" s="1744" t="s">
        <v>3072</v>
      </c>
      <c r="F189" s="1745"/>
      <c r="G189" s="1739" t="s">
        <v>3073</v>
      </c>
      <c r="H189" s="1740"/>
      <c r="I189" s="1739" t="s">
        <v>3074</v>
      </c>
      <c r="J189" s="1740"/>
      <c r="K189" s="1739" t="s">
        <v>3057</v>
      </c>
      <c r="L189" s="1749"/>
    </row>
    <row r="190" spans="1:12" ht="24.75" thickBot="1">
      <c r="A190" s="1742"/>
      <c r="B190" s="1748"/>
      <c r="C190" s="383" t="s">
        <v>3058</v>
      </c>
      <c r="D190" s="384" t="s">
        <v>3059</v>
      </c>
      <c r="E190" s="383" t="s">
        <v>3058</v>
      </c>
      <c r="F190" s="384" t="s">
        <v>3059</v>
      </c>
      <c r="G190" s="383" t="s">
        <v>3058</v>
      </c>
      <c r="H190" s="384" t="s">
        <v>3059</v>
      </c>
      <c r="I190" s="383" t="s">
        <v>3058</v>
      </c>
      <c r="J190" s="384" t="s">
        <v>3059</v>
      </c>
      <c r="K190" s="383" t="s">
        <v>3058</v>
      </c>
      <c r="L190" s="385" t="s">
        <v>3059</v>
      </c>
    </row>
    <row r="191" spans="1:12">
      <c r="A191" s="386">
        <v>1</v>
      </c>
      <c r="B191" s="387" t="s">
        <v>3060</v>
      </c>
      <c r="C191" s="388">
        <v>1</v>
      </c>
      <c r="D191" s="388">
        <v>1223</v>
      </c>
      <c r="E191" s="388">
        <v>0</v>
      </c>
      <c r="F191" s="388">
        <v>0</v>
      </c>
      <c r="G191" s="389">
        <v>0</v>
      </c>
      <c r="H191" s="389">
        <v>0</v>
      </c>
      <c r="I191" s="389">
        <f>C191+E191+G191</f>
        <v>1</v>
      </c>
      <c r="J191" s="389">
        <f>D191+F191+H191</f>
        <v>1223</v>
      </c>
      <c r="K191" s="389">
        <f>K186+I191</f>
        <v>4</v>
      </c>
      <c r="L191" s="397">
        <f>L186+J191</f>
        <v>2687.88</v>
      </c>
    </row>
    <row r="192" spans="1:12">
      <c r="A192" s="391">
        <v>2</v>
      </c>
      <c r="B192" s="392" t="s">
        <v>3061</v>
      </c>
      <c r="C192" s="393">
        <v>0</v>
      </c>
      <c r="D192" s="393">
        <v>0</v>
      </c>
      <c r="E192" s="393">
        <v>0</v>
      </c>
      <c r="F192" s="393">
        <v>0</v>
      </c>
      <c r="G192" s="394">
        <v>0</v>
      </c>
      <c r="H192" s="394">
        <v>0</v>
      </c>
      <c r="I192" s="389">
        <f>C192+E192+G192</f>
        <v>0</v>
      </c>
      <c r="J192" s="389">
        <f>D192+F192+H192</f>
        <v>0</v>
      </c>
      <c r="K192" s="394">
        <f>K187+I192</f>
        <v>0</v>
      </c>
      <c r="L192" s="398">
        <f>L187+J192</f>
        <v>0</v>
      </c>
    </row>
    <row r="193" spans="1:12" ht="15.75" thickBot="1">
      <c r="A193" s="1737" t="s">
        <v>3062</v>
      </c>
      <c r="B193" s="1738"/>
      <c r="C193" s="399">
        <f t="shared" ref="C193:L193" si="31">SUM(C191:C192)</f>
        <v>1</v>
      </c>
      <c r="D193" s="399">
        <f t="shared" si="31"/>
        <v>1223</v>
      </c>
      <c r="E193" s="399">
        <f t="shared" si="31"/>
        <v>0</v>
      </c>
      <c r="F193" s="399">
        <f t="shared" si="31"/>
        <v>0</v>
      </c>
      <c r="G193" s="399">
        <f t="shared" si="31"/>
        <v>0</v>
      </c>
      <c r="H193" s="399">
        <f t="shared" si="31"/>
        <v>0</v>
      </c>
      <c r="I193" s="399">
        <f t="shared" si="31"/>
        <v>1</v>
      </c>
      <c r="J193" s="399">
        <f t="shared" si="31"/>
        <v>1223</v>
      </c>
      <c r="K193" s="399">
        <f t="shared" si="31"/>
        <v>4</v>
      </c>
      <c r="L193" s="400">
        <f t="shared" si="31"/>
        <v>2687.88</v>
      </c>
    </row>
  </sheetData>
  <mergeCells count="264">
    <mergeCell ref="K184:L184"/>
    <mergeCell ref="I184:J184"/>
    <mergeCell ref="K189:L189"/>
    <mergeCell ref="C189:D189"/>
    <mergeCell ref="I189:J189"/>
    <mergeCell ref="E184:F184"/>
    <mergeCell ref="G184:H184"/>
    <mergeCell ref="C184:D184"/>
    <mergeCell ref="K179:L179"/>
    <mergeCell ref="B165:B166"/>
    <mergeCell ref="G179:H179"/>
    <mergeCell ref="B179:B180"/>
    <mergeCell ref="C165:D165"/>
    <mergeCell ref="G165:H165"/>
    <mergeCell ref="E174:F174"/>
    <mergeCell ref="A169:B169"/>
    <mergeCell ref="E165:F165"/>
    <mergeCell ref="A172:L172"/>
    <mergeCell ref="I165:J165"/>
    <mergeCell ref="A165:A166"/>
    <mergeCell ref="G174:H174"/>
    <mergeCell ref="C174:D174"/>
    <mergeCell ref="A174:A175"/>
    <mergeCell ref="B174:B175"/>
    <mergeCell ref="A178:B178"/>
    <mergeCell ref="K165:L165"/>
    <mergeCell ref="K174:L174"/>
    <mergeCell ref="I174:J174"/>
    <mergeCell ref="A193:B193"/>
    <mergeCell ref="A184:A185"/>
    <mergeCell ref="B184:B185"/>
    <mergeCell ref="A189:A190"/>
    <mergeCell ref="B189:B190"/>
    <mergeCell ref="A188:B188"/>
    <mergeCell ref="I179:J179"/>
    <mergeCell ref="E179:F179"/>
    <mergeCell ref="A183:B183"/>
    <mergeCell ref="C179:D179"/>
    <mergeCell ref="E189:F189"/>
    <mergeCell ref="G189:H189"/>
    <mergeCell ref="A179:A180"/>
    <mergeCell ref="A164:B164"/>
    <mergeCell ref="B136:B137"/>
    <mergeCell ref="B150:B151"/>
    <mergeCell ref="A145:B145"/>
    <mergeCell ref="A148:L148"/>
    <mergeCell ref="A150:A151"/>
    <mergeCell ref="K150:L150"/>
    <mergeCell ref="K160:L160"/>
    <mergeCell ref="A155:A156"/>
    <mergeCell ref="C141:D141"/>
    <mergeCell ref="A159:B159"/>
    <mergeCell ref="C155:D155"/>
    <mergeCell ref="A160:A161"/>
    <mergeCell ref="G160:H160"/>
    <mergeCell ref="B160:B161"/>
    <mergeCell ref="E155:F155"/>
    <mergeCell ref="K155:L155"/>
    <mergeCell ref="A141:A142"/>
    <mergeCell ref="I150:J150"/>
    <mergeCell ref="G150:H150"/>
    <mergeCell ref="B141:B142"/>
    <mergeCell ref="E150:F150"/>
    <mergeCell ref="C150:D150"/>
    <mergeCell ref="I155:J155"/>
    <mergeCell ref="G155:H155"/>
    <mergeCell ref="B155:B156"/>
    <mergeCell ref="I160:J160"/>
    <mergeCell ref="E160:F160"/>
    <mergeCell ref="C160:D160"/>
    <mergeCell ref="A154:B154"/>
    <mergeCell ref="C136:D136"/>
    <mergeCell ref="I136:J136"/>
    <mergeCell ref="G141:H141"/>
    <mergeCell ref="A135:B135"/>
    <mergeCell ref="A140:B140"/>
    <mergeCell ref="A136:A137"/>
    <mergeCell ref="E141:F141"/>
    <mergeCell ref="I141:J141"/>
    <mergeCell ref="G136:H136"/>
    <mergeCell ref="K131:L131"/>
    <mergeCell ref="G131:H131"/>
    <mergeCell ref="I131:J131"/>
    <mergeCell ref="K141:L141"/>
    <mergeCell ref="K136:L136"/>
    <mergeCell ref="A131:A132"/>
    <mergeCell ref="B131:B132"/>
    <mergeCell ref="E131:F131"/>
    <mergeCell ref="C131:D131"/>
    <mergeCell ref="E136:F136"/>
    <mergeCell ref="B112:B113"/>
    <mergeCell ref="C112:D112"/>
    <mergeCell ref="A111:B111"/>
    <mergeCell ref="K117:L117"/>
    <mergeCell ref="G117:H117"/>
    <mergeCell ref="I126:J126"/>
    <mergeCell ref="I117:J117"/>
    <mergeCell ref="I107:J107"/>
    <mergeCell ref="K112:L112"/>
    <mergeCell ref="I112:J112"/>
    <mergeCell ref="G112:H112"/>
    <mergeCell ref="C107:D107"/>
    <mergeCell ref="A121:B121"/>
    <mergeCell ref="G102:H102"/>
    <mergeCell ref="I102:J102"/>
    <mergeCell ref="B102:B103"/>
    <mergeCell ref="E117:F117"/>
    <mergeCell ref="C117:D117"/>
    <mergeCell ref="B117:B118"/>
    <mergeCell ref="A116:B116"/>
    <mergeCell ref="A130:B130"/>
    <mergeCell ref="C126:D126"/>
    <mergeCell ref="A124:L124"/>
    <mergeCell ref="K126:L126"/>
    <mergeCell ref="B126:B127"/>
    <mergeCell ref="E126:F126"/>
    <mergeCell ref="A126:A127"/>
    <mergeCell ref="G126:H126"/>
    <mergeCell ref="K107:L107"/>
    <mergeCell ref="E107:F107"/>
    <mergeCell ref="G107:H107"/>
    <mergeCell ref="E112:F112"/>
    <mergeCell ref="A117:A118"/>
    <mergeCell ref="A107:A108"/>
    <mergeCell ref="B107:B108"/>
    <mergeCell ref="A112:A113"/>
    <mergeCell ref="A106:B106"/>
    <mergeCell ref="G93:H93"/>
    <mergeCell ref="A97:B97"/>
    <mergeCell ref="B93:B94"/>
    <mergeCell ref="A93:A94"/>
    <mergeCell ref="C93:D93"/>
    <mergeCell ref="E93:F93"/>
    <mergeCell ref="A102:A103"/>
    <mergeCell ref="E102:F102"/>
    <mergeCell ref="C102:D102"/>
    <mergeCell ref="K102:L102"/>
    <mergeCell ref="E88:F88"/>
    <mergeCell ref="E78:F78"/>
    <mergeCell ref="K93:L93"/>
    <mergeCell ref="I93:J93"/>
    <mergeCell ref="A100:L100"/>
    <mergeCell ref="C88:D88"/>
    <mergeCell ref="I88:J88"/>
    <mergeCell ref="G88:H88"/>
    <mergeCell ref="K88:L88"/>
    <mergeCell ref="I83:J83"/>
    <mergeCell ref="I78:J78"/>
    <mergeCell ref="K78:L78"/>
    <mergeCell ref="A88:A89"/>
    <mergeCell ref="B88:B89"/>
    <mergeCell ref="A92:B92"/>
    <mergeCell ref="A82:B82"/>
    <mergeCell ref="A78:A79"/>
    <mergeCell ref="A83:A84"/>
    <mergeCell ref="A87:B87"/>
    <mergeCell ref="B83:B84"/>
    <mergeCell ref="C78:D78"/>
    <mergeCell ref="G83:H83"/>
    <mergeCell ref="G78:H78"/>
    <mergeCell ref="C83:D83"/>
    <mergeCell ref="B78:B79"/>
    <mergeCell ref="A63:B63"/>
    <mergeCell ref="E59:F59"/>
    <mergeCell ref="C64:D64"/>
    <mergeCell ref="B59:B60"/>
    <mergeCell ref="A64:A65"/>
    <mergeCell ref="A59:A60"/>
    <mergeCell ref="C59:D59"/>
    <mergeCell ref="A68:B68"/>
    <mergeCell ref="A73:B73"/>
    <mergeCell ref="K69:L69"/>
    <mergeCell ref="G69:H69"/>
    <mergeCell ref="I69:J69"/>
    <mergeCell ref="A69:A70"/>
    <mergeCell ref="E69:F69"/>
    <mergeCell ref="C69:D69"/>
    <mergeCell ref="B69:B70"/>
    <mergeCell ref="E83:F83"/>
    <mergeCell ref="I64:J64"/>
    <mergeCell ref="G64:H64"/>
    <mergeCell ref="E64:F64"/>
    <mergeCell ref="K64:L64"/>
    <mergeCell ref="B64:B65"/>
    <mergeCell ref="A76:L76"/>
    <mergeCell ref="K83:L83"/>
    <mergeCell ref="G59:H59"/>
    <mergeCell ref="A54:A55"/>
    <mergeCell ref="I54:J54"/>
    <mergeCell ref="G54:H54"/>
    <mergeCell ref="E54:F54"/>
    <mergeCell ref="K59:L59"/>
    <mergeCell ref="I59:J59"/>
    <mergeCell ref="A58:B58"/>
    <mergeCell ref="A44:B44"/>
    <mergeCell ref="A49:B49"/>
    <mergeCell ref="A52:L52"/>
    <mergeCell ref="B54:B55"/>
    <mergeCell ref="K54:L54"/>
    <mergeCell ref="C54:D54"/>
    <mergeCell ref="A28:L28"/>
    <mergeCell ref="B45:B46"/>
    <mergeCell ref="G45:H45"/>
    <mergeCell ref="G40:H40"/>
    <mergeCell ref="E45:F45"/>
    <mergeCell ref="A45:A46"/>
    <mergeCell ref="C45:D45"/>
    <mergeCell ref="K35:L35"/>
    <mergeCell ref="A34:B34"/>
    <mergeCell ref="A35:A36"/>
    <mergeCell ref="K30:L30"/>
    <mergeCell ref="K40:L40"/>
    <mergeCell ref="I40:J40"/>
    <mergeCell ref="G35:H35"/>
    <mergeCell ref="I35:J35"/>
    <mergeCell ref="A30:A31"/>
    <mergeCell ref="E35:F35"/>
    <mergeCell ref="B35:B36"/>
    <mergeCell ref="K45:L45"/>
    <mergeCell ref="I45:J45"/>
    <mergeCell ref="B30:B31"/>
    <mergeCell ref="C30:D30"/>
    <mergeCell ref="I30:J30"/>
    <mergeCell ref="G30:H30"/>
    <mergeCell ref="E30:F30"/>
    <mergeCell ref="C40:D40"/>
    <mergeCell ref="E40:F40"/>
    <mergeCell ref="C35:D35"/>
    <mergeCell ref="B40:B41"/>
    <mergeCell ref="A39:B39"/>
    <mergeCell ref="A40:A41"/>
    <mergeCell ref="K16:L16"/>
    <mergeCell ref="C11:D11"/>
    <mergeCell ref="I16:J16"/>
    <mergeCell ref="C16:D16"/>
    <mergeCell ref="G16:H16"/>
    <mergeCell ref="G11:H11"/>
    <mergeCell ref="E16:F16"/>
    <mergeCell ref="E11:F11"/>
    <mergeCell ref="B21:B22"/>
    <mergeCell ref="A25:B25"/>
    <mergeCell ref="G21:H21"/>
    <mergeCell ref="A21:A22"/>
    <mergeCell ref="C21:D21"/>
    <mergeCell ref="A11:A12"/>
    <mergeCell ref="E21:F21"/>
    <mergeCell ref="A4:L4"/>
    <mergeCell ref="A6:A7"/>
    <mergeCell ref="B6:B7"/>
    <mergeCell ref="C6:D6"/>
    <mergeCell ref="E6:F6"/>
    <mergeCell ref="G6:H6"/>
    <mergeCell ref="K6:L6"/>
    <mergeCell ref="I6:J6"/>
    <mergeCell ref="A16:A17"/>
    <mergeCell ref="B16:B17"/>
    <mergeCell ref="A10:B10"/>
    <mergeCell ref="A20:B20"/>
    <mergeCell ref="A15:B15"/>
    <mergeCell ref="K21:L21"/>
    <mergeCell ref="I21:J21"/>
    <mergeCell ref="B11:B12"/>
    <mergeCell ref="I11:J11"/>
    <mergeCell ref="K11:L11"/>
  </mergeCells>
  <phoneticPr fontId="0" type="noConversion"/>
  <hyperlinks>
    <hyperlink ref="B1" location="Главная!A1" display="Переход на главную страницу"/>
  </hyperlinks>
  <pageMargins left="0.39370078740157483" right="0.39370078740157483" top="0.74803149606299213" bottom="0.74803149606299213" header="0.31496062992125984" footer="0.31496062992125984"/>
  <pageSetup paperSize="9" fitToHeight="7" orientation="landscape" r:id="rId1"/>
  <rowBreaks count="7" manualBreakCount="7">
    <brk id="27" max="16383" man="1"/>
    <brk id="51" max="16383" man="1"/>
    <brk id="75" max="16383" man="1"/>
    <brk id="99" max="16383" man="1"/>
    <brk id="123" max="16383" man="1"/>
    <brk id="147" max="16383" man="1"/>
    <brk id="171" max="16383" man="1"/>
  </rowBreaks>
</worksheet>
</file>

<file path=xl/worksheets/sheet17.xml><?xml version="1.0" encoding="utf-8"?>
<worksheet xmlns="http://schemas.openxmlformats.org/spreadsheetml/2006/main" xmlns:r="http://schemas.openxmlformats.org/officeDocument/2006/relationships">
  <dimension ref="A1:E28"/>
  <sheetViews>
    <sheetView view="pageBreakPreview" zoomScaleNormal="100" workbookViewId="0">
      <selection activeCell="A30" sqref="A30"/>
    </sheetView>
  </sheetViews>
  <sheetFormatPr defaultRowHeight="15"/>
  <cols>
    <col min="1" max="5" width="15.7109375" customWidth="1"/>
  </cols>
  <sheetData>
    <row r="1" spans="1:5" ht="15.75">
      <c r="A1" s="79" t="s">
        <v>724</v>
      </c>
      <c r="E1" t="s">
        <v>1428</v>
      </c>
    </row>
    <row r="3" spans="1:5">
      <c r="A3" s="1752" t="s">
        <v>1429</v>
      </c>
      <c r="B3" s="1752"/>
      <c r="C3" s="1752"/>
      <c r="D3" s="1752"/>
      <c r="E3" s="1752"/>
    </row>
    <row r="4" spans="1:5" ht="15.75" thickBot="1"/>
    <row r="5" spans="1:5" s="233" customFormat="1" ht="15.75">
      <c r="A5" s="1753" t="s">
        <v>1430</v>
      </c>
      <c r="B5" s="1755" t="s">
        <v>1431</v>
      </c>
      <c r="C5" s="1756"/>
      <c r="D5" s="1756"/>
      <c r="E5" s="1757"/>
    </row>
    <row r="6" spans="1:5" s="233" customFormat="1" ht="16.5" thickBot="1">
      <c r="A6" s="1754"/>
      <c r="B6" s="566" t="s">
        <v>1432</v>
      </c>
      <c r="C6" s="567" t="s">
        <v>1433</v>
      </c>
      <c r="D6" s="567" t="s">
        <v>1434</v>
      </c>
      <c r="E6" s="568" t="s">
        <v>1435</v>
      </c>
    </row>
    <row r="7" spans="1:5" ht="18.75">
      <c r="A7" s="569" t="s">
        <v>4840</v>
      </c>
      <c r="B7" s="570">
        <v>50.28</v>
      </c>
      <c r="C7" s="571">
        <v>56.36</v>
      </c>
      <c r="D7" s="571">
        <v>51.61</v>
      </c>
      <c r="E7" s="572">
        <v>47.27</v>
      </c>
    </row>
    <row r="8" spans="1:5" ht="18.75">
      <c r="A8" s="573" t="s">
        <v>1436</v>
      </c>
      <c r="B8" s="574">
        <v>0</v>
      </c>
      <c r="C8" s="575">
        <v>0</v>
      </c>
      <c r="D8" s="575">
        <v>0</v>
      </c>
      <c r="E8" s="576">
        <v>0</v>
      </c>
    </row>
    <row r="9" spans="1:5" ht="18.75">
      <c r="A9" s="573" t="s">
        <v>1437</v>
      </c>
      <c r="B9" s="574">
        <v>0</v>
      </c>
      <c r="C9" s="575">
        <v>0</v>
      </c>
      <c r="D9" s="575">
        <v>0</v>
      </c>
      <c r="E9" s="576">
        <v>0</v>
      </c>
    </row>
    <row r="10" spans="1:5" ht="19.5" thickBot="1">
      <c r="A10" s="577" t="s">
        <v>1438</v>
      </c>
      <c r="B10" s="578">
        <v>0</v>
      </c>
      <c r="C10" s="579">
        <v>0</v>
      </c>
      <c r="D10" s="579">
        <v>0</v>
      </c>
      <c r="E10" s="580">
        <f>C10-D10</f>
        <v>0</v>
      </c>
    </row>
    <row r="12" spans="1:5">
      <c r="A12" s="1752" t="s">
        <v>1439</v>
      </c>
      <c r="B12" s="1752"/>
      <c r="C12" s="1752"/>
      <c r="D12" s="1752"/>
      <c r="E12" s="1752"/>
    </row>
    <row r="13" spans="1:5" ht="15.75" thickBot="1"/>
    <row r="14" spans="1:5" ht="15.75">
      <c r="A14" s="1753" t="s">
        <v>1430</v>
      </c>
      <c r="B14" s="1755" t="s">
        <v>1431</v>
      </c>
      <c r="C14" s="1756"/>
      <c r="D14" s="1756"/>
      <c r="E14" s="1757"/>
    </row>
    <row r="15" spans="1:5" ht="16.5" thickBot="1">
      <c r="A15" s="1754"/>
      <c r="B15" s="566" t="s">
        <v>1432</v>
      </c>
      <c r="C15" s="567" t="s">
        <v>1433</v>
      </c>
      <c r="D15" s="567" t="s">
        <v>1434</v>
      </c>
      <c r="E15" s="568" t="s">
        <v>1435</v>
      </c>
    </row>
    <row r="16" spans="1:5" ht="18.75">
      <c r="A16" s="569" t="s">
        <v>4840</v>
      </c>
      <c r="B16" s="570">
        <v>47.52</v>
      </c>
      <c r="C16" s="571">
        <v>50.75</v>
      </c>
      <c r="D16" s="571">
        <v>48.27</v>
      </c>
      <c r="E16" s="572">
        <v>44.14</v>
      </c>
    </row>
    <row r="17" spans="1:5" ht="18.75">
      <c r="A17" s="573" t="s">
        <v>1436</v>
      </c>
      <c r="B17" s="574">
        <v>0</v>
      </c>
      <c r="C17" s="575">
        <v>0</v>
      </c>
      <c r="D17" s="575">
        <v>0</v>
      </c>
      <c r="E17" s="576">
        <v>0</v>
      </c>
    </row>
    <row r="18" spans="1:5" ht="18.75">
      <c r="A18" s="573" t="s">
        <v>1437</v>
      </c>
      <c r="B18" s="574">
        <v>0</v>
      </c>
      <c r="C18" s="575">
        <v>0</v>
      </c>
      <c r="D18" s="575">
        <v>0</v>
      </c>
      <c r="E18" s="576">
        <v>0</v>
      </c>
    </row>
    <row r="19" spans="1:5" ht="19.5" thickBot="1">
      <c r="A19" s="577" t="s">
        <v>1438</v>
      </c>
      <c r="B19" s="578">
        <v>0</v>
      </c>
      <c r="C19" s="579">
        <v>0</v>
      </c>
      <c r="D19" s="579">
        <v>0</v>
      </c>
      <c r="E19" s="580">
        <f>C19-D19</f>
        <v>0</v>
      </c>
    </row>
    <row r="21" spans="1:5">
      <c r="A21" s="1752" t="s">
        <v>5056</v>
      </c>
      <c r="B21" s="1752"/>
      <c r="C21" s="1752"/>
      <c r="D21" s="1752"/>
      <c r="E21" s="1752"/>
    </row>
    <row r="22" spans="1:5" ht="15.75" thickBot="1"/>
    <row r="23" spans="1:5" ht="15.75">
      <c r="A23" s="1753" t="s">
        <v>1430</v>
      </c>
      <c r="B23" s="1755" t="s">
        <v>1431</v>
      </c>
      <c r="C23" s="1756"/>
      <c r="D23" s="1756"/>
      <c r="E23" s="1757"/>
    </row>
    <row r="24" spans="1:5" ht="16.5" thickBot="1">
      <c r="A24" s="1754"/>
      <c r="B24" s="566" t="s">
        <v>1432</v>
      </c>
      <c r="C24" s="567" t="s">
        <v>1433</v>
      </c>
      <c r="D24" s="567" t="s">
        <v>1434</v>
      </c>
      <c r="E24" s="568" t="s">
        <v>1435</v>
      </c>
    </row>
    <row r="25" spans="1:5" ht="18.75">
      <c r="A25" s="569" t="s">
        <v>4840</v>
      </c>
      <c r="B25" s="570">
        <v>58.11</v>
      </c>
      <c r="C25" s="571">
        <v>61.84</v>
      </c>
      <c r="D25" s="571">
        <v>56.38</v>
      </c>
      <c r="E25" s="572">
        <v>61.16</v>
      </c>
    </row>
    <row r="26" spans="1:5" ht="18.75">
      <c r="A26" s="573" t="s">
        <v>1436</v>
      </c>
      <c r="B26" s="574">
        <v>0</v>
      </c>
      <c r="C26" s="575">
        <v>0</v>
      </c>
      <c r="D26" s="575">
        <v>0</v>
      </c>
      <c r="E26" s="576">
        <v>0</v>
      </c>
    </row>
    <row r="27" spans="1:5" ht="18.75">
      <c r="A27" s="573" t="s">
        <v>1437</v>
      </c>
      <c r="B27" s="574">
        <v>0</v>
      </c>
      <c r="C27" s="575">
        <v>0</v>
      </c>
      <c r="D27" s="575">
        <v>0</v>
      </c>
      <c r="E27" s="576">
        <v>0</v>
      </c>
    </row>
    <row r="28" spans="1:5" ht="19.5" thickBot="1">
      <c r="A28" s="577" t="s">
        <v>1438</v>
      </c>
      <c r="B28" s="578">
        <v>0</v>
      </c>
      <c r="C28" s="579">
        <v>0</v>
      </c>
      <c r="D28" s="579">
        <v>0</v>
      </c>
      <c r="E28" s="580">
        <v>0</v>
      </c>
    </row>
  </sheetData>
  <mergeCells count="9">
    <mergeCell ref="A3:E3"/>
    <mergeCell ref="A5:A6"/>
    <mergeCell ref="B5:E5"/>
    <mergeCell ref="A12:E12"/>
    <mergeCell ref="A23:A24"/>
    <mergeCell ref="B23:E23"/>
    <mergeCell ref="A14:A15"/>
    <mergeCell ref="B14:E14"/>
    <mergeCell ref="A21:E21"/>
  </mergeCells>
  <phoneticPr fontId="0" type="noConversion"/>
  <hyperlinks>
    <hyperlink ref="A1" location="Главная!A1" display="Переход на главную страницу"/>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outlinePr summaryBelow="0"/>
    <pageSetUpPr fitToPage="1"/>
  </sheetPr>
  <dimension ref="A1:AD144"/>
  <sheetViews>
    <sheetView view="pageBreakPreview" zoomScale="75" zoomScaleNormal="80" zoomScaleSheetLayoutView="85" workbookViewId="0">
      <pane xSplit="3" ySplit="7" topLeftCell="D8" activePane="bottomRight" state="frozen"/>
      <selection activeCell="A11" sqref="A11:E12"/>
      <selection pane="topRight" activeCell="A11" sqref="A11:E12"/>
      <selection pane="bottomLeft" activeCell="A11" sqref="A11:E12"/>
      <selection pane="bottomRight" activeCell="A4" sqref="A4:A5"/>
    </sheetView>
  </sheetViews>
  <sheetFormatPr defaultRowHeight="15" outlineLevelRow="1"/>
  <cols>
    <col min="1" max="1" width="8.5703125" customWidth="1"/>
    <col min="2" max="2" width="29" customWidth="1"/>
    <col min="3" max="4" width="9.5703125" customWidth="1"/>
    <col min="5" max="5" width="27.28515625" customWidth="1"/>
    <col min="6" max="6" width="12.85546875" customWidth="1"/>
    <col min="7" max="8" width="11.85546875" customWidth="1"/>
    <col min="9" max="9" width="20" customWidth="1"/>
    <col min="10" max="10" width="30.7109375" customWidth="1"/>
    <col min="11" max="11" width="29.42578125" customWidth="1"/>
    <col min="12" max="12" width="19.42578125" customWidth="1"/>
    <col min="13" max="13" width="25.42578125" customWidth="1"/>
    <col min="14" max="14" width="30.7109375" customWidth="1"/>
    <col min="15" max="15" width="17.85546875" customWidth="1"/>
    <col min="16" max="16" width="12.85546875" customWidth="1"/>
    <col min="17" max="17" width="30.5703125" customWidth="1"/>
    <col min="18" max="19" width="24.5703125" customWidth="1"/>
    <col min="20" max="20" width="16" customWidth="1"/>
    <col min="21" max="24" width="19" customWidth="1"/>
    <col min="25" max="25" width="23.7109375" hidden="1" customWidth="1"/>
    <col min="26" max="26" width="29.140625" customWidth="1"/>
    <col min="27" max="27" width="14.85546875" customWidth="1"/>
    <col min="28" max="28" width="19.5703125" customWidth="1"/>
    <col min="29" max="29" width="12.28515625" customWidth="1"/>
    <col min="30" max="30" width="11.7109375" bestFit="1" customWidth="1"/>
  </cols>
  <sheetData>
    <row r="1" spans="1:29" ht="15.75">
      <c r="A1" s="79" t="s">
        <v>724</v>
      </c>
      <c r="B1" s="319"/>
      <c r="C1" s="319"/>
      <c r="D1" s="319"/>
      <c r="E1" s="319"/>
      <c r="F1" s="319"/>
      <c r="G1" s="319"/>
      <c r="H1" s="319"/>
      <c r="I1" s="319"/>
      <c r="J1" s="319"/>
      <c r="K1" s="319"/>
      <c r="L1" s="401"/>
      <c r="M1" s="319"/>
      <c r="N1" s="319"/>
      <c r="O1" s="319"/>
      <c r="P1" s="319"/>
      <c r="Q1" s="319"/>
      <c r="R1" s="319"/>
      <c r="S1" s="319"/>
      <c r="T1" s="319"/>
      <c r="U1" s="319"/>
      <c r="V1" s="319"/>
      <c r="W1" s="319"/>
      <c r="X1" s="319"/>
      <c r="Y1" s="319"/>
      <c r="Z1" s="319"/>
      <c r="AA1" s="319"/>
      <c r="AB1" s="319" t="s">
        <v>3082</v>
      </c>
    </row>
    <row r="2" spans="1:29" ht="18" customHeight="1">
      <c r="A2" s="1758" t="s">
        <v>3083</v>
      </c>
      <c r="B2" s="1758"/>
      <c r="C2" s="1758"/>
      <c r="D2" s="1758"/>
      <c r="E2" s="1758"/>
      <c r="F2" s="1758"/>
      <c r="G2" s="1758"/>
      <c r="H2" s="1758"/>
      <c r="I2" s="1758"/>
      <c r="J2" s="1758"/>
      <c r="K2" s="1758"/>
      <c r="L2" s="1758"/>
      <c r="M2" s="1758"/>
      <c r="N2" s="1758"/>
      <c r="O2" s="1758"/>
      <c r="P2" s="1758"/>
      <c r="Q2" s="1758"/>
      <c r="R2" s="1758"/>
      <c r="S2" s="1758"/>
      <c r="T2" s="1758"/>
      <c r="U2" s="1758"/>
      <c r="V2" s="1758"/>
      <c r="W2" s="1758"/>
      <c r="X2" s="1758"/>
      <c r="Y2" s="1758"/>
      <c r="Z2" s="1758"/>
      <c r="AA2" s="1758"/>
      <c r="AB2" s="1758"/>
      <c r="AC2" s="319"/>
    </row>
    <row r="3" spans="1:29" ht="5.25" customHeight="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row>
    <row r="4" spans="1:29" ht="45" customHeight="1">
      <c r="A4" s="1759" t="s">
        <v>3544</v>
      </c>
      <c r="B4" s="1759" t="s">
        <v>3084</v>
      </c>
      <c r="C4" s="1761" t="s">
        <v>3085</v>
      </c>
      <c r="D4" s="1762"/>
      <c r="E4" s="1765" t="s">
        <v>3086</v>
      </c>
      <c r="F4" s="1765"/>
      <c r="G4" s="1765"/>
      <c r="H4" s="1765"/>
      <c r="I4" s="1766" t="s">
        <v>3087</v>
      </c>
      <c r="J4" s="1759" t="s">
        <v>3088</v>
      </c>
      <c r="K4" s="1759" t="s">
        <v>3089</v>
      </c>
      <c r="L4" s="1766" t="s">
        <v>3090</v>
      </c>
      <c r="M4" s="1759" t="s">
        <v>3091</v>
      </c>
      <c r="N4" s="1766" t="s">
        <v>3092</v>
      </c>
      <c r="O4" s="1766" t="s">
        <v>3093</v>
      </c>
      <c r="P4" s="1766" t="s">
        <v>3094</v>
      </c>
      <c r="Q4" s="1766" t="s">
        <v>3095</v>
      </c>
      <c r="R4" s="1769" t="s">
        <v>4961</v>
      </c>
      <c r="S4" s="1770"/>
      <c r="T4" s="1766" t="s">
        <v>4997</v>
      </c>
      <c r="U4" s="1768" t="s">
        <v>4964</v>
      </c>
      <c r="V4" s="1768"/>
      <c r="W4" s="1768"/>
      <c r="X4" s="1768"/>
      <c r="Y4" s="1766" t="s">
        <v>3096</v>
      </c>
      <c r="Z4" s="1773" t="s">
        <v>4965</v>
      </c>
      <c r="AA4" s="1774"/>
      <c r="AB4" s="1759" t="s">
        <v>3097</v>
      </c>
      <c r="AC4" s="1766" t="s">
        <v>3098</v>
      </c>
    </row>
    <row r="5" spans="1:29" ht="46.5" customHeight="1">
      <c r="A5" s="1760"/>
      <c r="B5" s="1760"/>
      <c r="C5" s="1763"/>
      <c r="D5" s="1764"/>
      <c r="E5" s="402" t="s">
        <v>1961</v>
      </c>
      <c r="F5" s="402" t="s">
        <v>3099</v>
      </c>
      <c r="G5" s="402" t="s">
        <v>3100</v>
      </c>
      <c r="H5" s="402" t="s">
        <v>3101</v>
      </c>
      <c r="I5" s="1767"/>
      <c r="J5" s="1760"/>
      <c r="K5" s="1760"/>
      <c r="L5" s="1767"/>
      <c r="M5" s="1760"/>
      <c r="N5" s="1767"/>
      <c r="O5" s="1767"/>
      <c r="P5" s="1767"/>
      <c r="Q5" s="1767"/>
      <c r="R5" s="402" t="s">
        <v>1961</v>
      </c>
      <c r="S5" s="402" t="s">
        <v>4962</v>
      </c>
      <c r="T5" s="1767"/>
      <c r="U5" s="403" t="s">
        <v>4998</v>
      </c>
      <c r="V5" s="403" t="s">
        <v>4963</v>
      </c>
      <c r="W5" s="403" t="s">
        <v>4998</v>
      </c>
      <c r="X5" s="403" t="s">
        <v>4963</v>
      </c>
      <c r="Y5" s="1767"/>
      <c r="Z5" s="1424" t="s">
        <v>1961</v>
      </c>
      <c r="AA5" s="1424" t="s">
        <v>4962</v>
      </c>
      <c r="AB5" s="1760"/>
      <c r="AC5" s="1767"/>
    </row>
    <row r="6" spans="1:29" ht="19.5" customHeight="1">
      <c r="A6" s="402" t="s">
        <v>3102</v>
      </c>
      <c r="B6" s="402" t="s">
        <v>3103</v>
      </c>
      <c r="C6" s="1769" t="s">
        <v>3103</v>
      </c>
      <c r="D6" s="1770"/>
      <c r="E6" s="402" t="s">
        <v>3103</v>
      </c>
      <c r="F6" s="402"/>
      <c r="G6" s="402"/>
      <c r="H6" s="402"/>
      <c r="I6" s="403" t="s">
        <v>3103</v>
      </c>
      <c r="J6" s="404" t="s">
        <v>3103</v>
      </c>
      <c r="K6" s="405" t="s">
        <v>3104</v>
      </c>
      <c r="L6" s="406" t="s">
        <v>3104</v>
      </c>
      <c r="M6" s="405" t="s">
        <v>3104</v>
      </c>
      <c r="N6" s="407" t="s">
        <v>3105</v>
      </c>
      <c r="O6" s="408" t="s">
        <v>3103</v>
      </c>
      <c r="P6" s="408" t="s">
        <v>3103</v>
      </c>
      <c r="Q6" s="403" t="s">
        <v>3104</v>
      </c>
      <c r="R6" s="402" t="s">
        <v>3104</v>
      </c>
      <c r="S6" s="402" t="s">
        <v>3104</v>
      </c>
      <c r="T6" s="402" t="s">
        <v>3104</v>
      </c>
      <c r="U6" s="402" t="s">
        <v>3104</v>
      </c>
      <c r="V6" s="402" t="s">
        <v>3104</v>
      </c>
      <c r="W6" s="402" t="s">
        <v>3104</v>
      </c>
      <c r="X6" s="402" t="s">
        <v>3104</v>
      </c>
      <c r="Y6" s="403" t="s">
        <v>3104</v>
      </c>
      <c r="Z6" s="1771" t="s">
        <v>3104</v>
      </c>
      <c r="AA6" s="1772"/>
      <c r="AB6" s="403" t="s">
        <v>3105</v>
      </c>
      <c r="AC6" s="403" t="s">
        <v>3104</v>
      </c>
    </row>
    <row r="7" spans="1:29" ht="21" customHeight="1">
      <c r="A7" s="402" t="s">
        <v>3106</v>
      </c>
      <c r="B7" s="402">
        <v>1</v>
      </c>
      <c r="C7" s="1769">
        <v>2</v>
      </c>
      <c r="D7" s="1770"/>
      <c r="E7" s="402">
        <v>3</v>
      </c>
      <c r="F7" s="409" t="s">
        <v>3107</v>
      </c>
      <c r="G7" s="409" t="s">
        <v>3108</v>
      </c>
      <c r="H7" s="409" t="s">
        <v>3109</v>
      </c>
      <c r="I7" s="403">
        <v>4</v>
      </c>
      <c r="J7" s="404">
        <v>5</v>
      </c>
      <c r="K7" s="405">
        <v>6</v>
      </c>
      <c r="L7" s="406">
        <v>7</v>
      </c>
      <c r="M7" s="405">
        <v>8</v>
      </c>
      <c r="N7" s="407">
        <v>9</v>
      </c>
      <c r="O7" s="408">
        <v>10</v>
      </c>
      <c r="P7" s="408">
        <v>11</v>
      </c>
      <c r="Q7" s="403">
        <v>12</v>
      </c>
      <c r="R7" s="402">
        <v>13</v>
      </c>
      <c r="S7" s="408">
        <v>14</v>
      </c>
      <c r="T7" s="403">
        <v>15</v>
      </c>
      <c r="U7" s="402">
        <v>16</v>
      </c>
      <c r="V7" s="408">
        <v>17</v>
      </c>
      <c r="W7" s="402">
        <v>18</v>
      </c>
      <c r="X7" s="408">
        <v>19</v>
      </c>
      <c r="Y7" s="402">
        <v>20</v>
      </c>
      <c r="Z7" s="408">
        <v>21</v>
      </c>
      <c r="AA7" s="402">
        <v>22</v>
      </c>
      <c r="AB7" s="408">
        <v>23</v>
      </c>
      <c r="AC7" s="402">
        <v>24</v>
      </c>
    </row>
    <row r="8" spans="1:29" s="420" customFormat="1" ht="21" customHeight="1">
      <c r="A8" s="410"/>
      <c r="B8" s="411" t="s">
        <v>3060</v>
      </c>
      <c r="C8" s="412"/>
      <c r="D8" s="413"/>
      <c r="E8" s="410"/>
      <c r="F8" s="410"/>
      <c r="G8" s="410"/>
      <c r="H8" s="410"/>
      <c r="I8" s="414"/>
      <c r="J8" s="412"/>
      <c r="K8" s="415"/>
      <c r="L8" s="416"/>
      <c r="M8" s="415"/>
      <c r="N8" s="417"/>
      <c r="O8" s="418"/>
      <c r="P8" s="418"/>
      <c r="Q8" s="414"/>
      <c r="R8" s="410"/>
      <c r="S8" s="410"/>
      <c r="T8" s="410"/>
      <c r="U8" s="410"/>
      <c r="V8" s="410"/>
      <c r="W8" s="410"/>
      <c r="X8" s="410"/>
      <c r="Y8" s="414"/>
      <c r="Z8" s="414"/>
      <c r="AA8" s="414"/>
      <c r="AB8" s="415"/>
      <c r="AC8" s="419"/>
    </row>
    <row r="9" spans="1:29" s="420" customFormat="1" ht="21" customHeight="1">
      <c r="A9" s="410"/>
      <c r="B9" s="421" t="s">
        <v>970</v>
      </c>
      <c r="C9" s="412"/>
      <c r="D9" s="413"/>
      <c r="E9" s="410"/>
      <c r="F9" s="410"/>
      <c r="G9" s="410"/>
      <c r="H9" s="410"/>
      <c r="I9" s="414"/>
      <c r="J9" s="412"/>
      <c r="K9" s="415"/>
      <c r="L9" s="416"/>
      <c r="M9" s="415"/>
      <c r="N9" s="417"/>
      <c r="O9" s="418"/>
      <c r="P9" s="418"/>
      <c r="Q9" s="414"/>
      <c r="R9" s="410"/>
      <c r="S9" s="410"/>
      <c r="T9" s="410"/>
      <c r="U9" s="410"/>
      <c r="V9" s="410"/>
      <c r="W9" s="410"/>
      <c r="X9" s="410"/>
      <c r="Y9" s="414"/>
      <c r="Z9" s="414"/>
      <c r="AA9" s="414"/>
      <c r="AB9" s="415"/>
      <c r="AC9" s="419"/>
    </row>
    <row r="10" spans="1:29" s="420" customFormat="1" ht="21" customHeight="1">
      <c r="A10" s="410"/>
      <c r="B10" s="410" t="s">
        <v>3110</v>
      </c>
      <c r="C10" s="412"/>
      <c r="D10" s="413"/>
      <c r="E10" s="410"/>
      <c r="F10" s="410"/>
      <c r="G10" s="410"/>
      <c r="H10" s="410"/>
      <c r="I10" s="414"/>
      <c r="J10" s="412"/>
      <c r="K10" s="415"/>
      <c r="L10" s="416"/>
      <c r="M10" s="415"/>
      <c r="N10" s="417"/>
      <c r="O10" s="418"/>
      <c r="P10" s="418"/>
      <c r="Q10" s="414"/>
      <c r="R10" s="410"/>
      <c r="S10" s="410"/>
      <c r="T10" s="410"/>
      <c r="U10" s="410"/>
      <c r="V10" s="410"/>
      <c r="W10" s="410"/>
      <c r="X10" s="410"/>
      <c r="Y10" s="414"/>
      <c r="Z10" s="414"/>
      <c r="AA10" s="414"/>
      <c r="AB10" s="415"/>
      <c r="AC10" s="419"/>
    </row>
    <row r="11" spans="1:29" s="430" customFormat="1" ht="50.25" customHeight="1" collapsed="1">
      <c r="A11" s="422">
        <v>1</v>
      </c>
      <c r="B11" s="423" t="s">
        <v>3111</v>
      </c>
      <c r="C11" s="424">
        <v>498.66</v>
      </c>
      <c r="D11" s="424" t="s">
        <v>3112</v>
      </c>
      <c r="E11" s="422" t="s">
        <v>3113</v>
      </c>
      <c r="F11" s="422">
        <v>15</v>
      </c>
      <c r="G11" s="422">
        <v>7</v>
      </c>
      <c r="H11" s="422">
        <v>2011</v>
      </c>
      <c r="I11" s="422" t="s">
        <v>3114</v>
      </c>
      <c r="J11" s="422" t="s">
        <v>3115</v>
      </c>
      <c r="K11" s="424" t="s">
        <v>3116</v>
      </c>
      <c r="L11" s="425">
        <f>140934.89</f>
        <v>140934.89000000001</v>
      </c>
      <c r="M11" s="422" t="s">
        <v>3117</v>
      </c>
      <c r="N11" s="422" t="s">
        <v>3118</v>
      </c>
      <c r="O11" s="424"/>
      <c r="P11" s="424"/>
      <c r="Q11" s="424" t="s">
        <v>3119</v>
      </c>
      <c r="R11" s="424" t="s">
        <v>4968</v>
      </c>
      <c r="S11" s="427">
        <v>40996</v>
      </c>
      <c r="T11" s="425">
        <v>164597.43</v>
      </c>
      <c r="U11" s="426">
        <v>164597.43</v>
      </c>
      <c r="V11" s="1425">
        <v>41115</v>
      </c>
      <c r="W11" s="1425"/>
      <c r="X11" s="1425"/>
      <c r="Y11" s="427"/>
      <c r="Z11" s="422" t="s">
        <v>5006</v>
      </c>
      <c r="AA11" s="1425">
        <v>41093</v>
      </c>
      <c r="AB11" s="428"/>
      <c r="AC11" s="429"/>
    </row>
    <row r="12" spans="1:29" s="444" customFormat="1" hidden="1" outlineLevel="1">
      <c r="A12" s="431">
        <v>1</v>
      </c>
      <c r="B12" s="431" t="s">
        <v>3111</v>
      </c>
      <c r="C12" s="431">
        <v>246.76</v>
      </c>
      <c r="D12" s="431" t="s">
        <v>3112</v>
      </c>
      <c r="E12" s="431" t="s">
        <v>3120</v>
      </c>
      <c r="F12" s="432"/>
      <c r="G12" s="432"/>
      <c r="H12" s="432"/>
      <c r="I12" s="433"/>
      <c r="J12" s="431" t="s">
        <v>3115</v>
      </c>
      <c r="K12" s="434"/>
      <c r="L12" s="435"/>
      <c r="M12" s="434"/>
      <c r="N12" s="436"/>
      <c r="O12" s="437"/>
      <c r="P12" s="437"/>
      <c r="Q12" s="432"/>
      <c r="R12" s="432"/>
      <c r="S12" s="432"/>
      <c r="T12" s="438"/>
      <c r="U12" s="438"/>
      <c r="V12" s="438"/>
      <c r="W12" s="438"/>
      <c r="X12" s="438"/>
      <c r="Y12" s="439"/>
      <c r="Z12" s="440"/>
      <c r="AA12" s="441"/>
      <c r="AB12" s="442"/>
      <c r="AC12" s="443"/>
    </row>
    <row r="13" spans="1:29" s="444" customFormat="1" ht="42.75" hidden="1" outlineLevel="1">
      <c r="A13" s="431">
        <f>A12+1</f>
        <v>2</v>
      </c>
      <c r="B13" s="445" t="s">
        <v>3111</v>
      </c>
      <c r="C13" s="446">
        <v>4.5</v>
      </c>
      <c r="D13" s="447" t="s">
        <v>3112</v>
      </c>
      <c r="E13" s="448" t="s">
        <v>3121</v>
      </c>
      <c r="F13" s="448"/>
      <c r="G13" s="448"/>
      <c r="H13" s="448"/>
      <c r="I13" s="431" t="s">
        <v>3122</v>
      </c>
      <c r="J13" s="431" t="s">
        <v>3115</v>
      </c>
      <c r="K13" s="447"/>
      <c r="L13" s="447"/>
      <c r="M13" s="447"/>
      <c r="N13" s="447"/>
      <c r="O13" s="447"/>
      <c r="P13" s="447"/>
      <c r="Q13" s="447"/>
      <c r="R13" s="447"/>
      <c r="S13" s="447"/>
      <c r="T13" s="449"/>
      <c r="U13" s="449"/>
      <c r="V13" s="449"/>
      <c r="W13" s="449"/>
      <c r="X13" s="449"/>
      <c r="Y13" s="450"/>
      <c r="Z13" s="447"/>
      <c r="AA13" s="451"/>
      <c r="AB13" s="452"/>
      <c r="AC13" s="453"/>
    </row>
    <row r="14" spans="1:29" s="444" customFormat="1" ht="72" hidden="1" outlineLevel="1">
      <c r="A14" s="431">
        <f>A13+1</f>
        <v>3</v>
      </c>
      <c r="B14" s="431" t="s">
        <v>3111</v>
      </c>
      <c r="C14" s="454">
        <v>12</v>
      </c>
      <c r="D14" s="431" t="s">
        <v>3112</v>
      </c>
      <c r="E14" s="448" t="s">
        <v>3121</v>
      </c>
      <c r="F14" s="448"/>
      <c r="G14" s="448"/>
      <c r="H14" s="448"/>
      <c r="I14" s="455" t="s">
        <v>3123</v>
      </c>
      <c r="J14" s="431" t="s">
        <v>3115</v>
      </c>
      <c r="K14" s="434" t="s">
        <v>3124</v>
      </c>
      <c r="L14" s="456">
        <v>174023.6</v>
      </c>
      <c r="M14" s="434" t="s">
        <v>3125</v>
      </c>
      <c r="N14" s="434"/>
      <c r="O14" s="434"/>
      <c r="P14" s="434"/>
      <c r="Q14" s="431"/>
      <c r="R14" s="431"/>
      <c r="S14" s="431"/>
      <c r="T14" s="457"/>
      <c r="U14" s="457"/>
      <c r="V14" s="457"/>
      <c r="W14" s="457"/>
      <c r="X14" s="457"/>
      <c r="Y14" s="458"/>
      <c r="Z14" s="434" t="s">
        <v>3126</v>
      </c>
      <c r="AA14" s="459"/>
      <c r="AB14" s="442"/>
      <c r="AC14" s="443"/>
    </row>
    <row r="15" spans="1:29" s="444" customFormat="1" ht="55.5" hidden="1" customHeight="1" outlineLevel="1">
      <c r="A15" s="431">
        <f t="shared" ref="A15:A35" si="0">A14+1</f>
        <v>4</v>
      </c>
      <c r="B15" s="431" t="s">
        <v>3111</v>
      </c>
      <c r="C15" s="460">
        <v>15</v>
      </c>
      <c r="D15" s="431" t="s">
        <v>3112</v>
      </c>
      <c r="E15" s="448" t="s">
        <v>3121</v>
      </c>
      <c r="F15" s="448"/>
      <c r="G15" s="448"/>
      <c r="H15" s="448"/>
      <c r="I15" s="431" t="s">
        <v>3127</v>
      </c>
      <c r="J15" s="431" t="s">
        <v>3115</v>
      </c>
      <c r="K15" s="434" t="s">
        <v>3128</v>
      </c>
      <c r="L15" s="456">
        <v>174023.6</v>
      </c>
      <c r="M15" s="434" t="s">
        <v>3129</v>
      </c>
      <c r="N15" s="434"/>
      <c r="O15" s="434"/>
      <c r="P15" s="434"/>
      <c r="Q15" s="431" t="s">
        <v>3130</v>
      </c>
      <c r="R15" s="431" t="s">
        <v>3131</v>
      </c>
      <c r="S15" s="431"/>
      <c r="T15" s="457">
        <f>173637.63*1.18</f>
        <v>204892.40339999998</v>
      </c>
      <c r="U15" s="457">
        <v>0</v>
      </c>
      <c r="V15" s="457"/>
      <c r="W15" s="457"/>
      <c r="X15" s="457"/>
      <c r="Y15" s="458" t="s">
        <v>3568</v>
      </c>
      <c r="Z15" s="434"/>
      <c r="AA15" s="459"/>
      <c r="AB15" s="434" t="s">
        <v>3132</v>
      </c>
      <c r="AC15" s="443"/>
    </row>
    <row r="16" spans="1:29" s="444" customFormat="1" ht="57.75" hidden="1" outlineLevel="1">
      <c r="A16" s="431">
        <f t="shared" si="0"/>
        <v>5</v>
      </c>
      <c r="B16" s="431" t="s">
        <v>3111</v>
      </c>
      <c r="C16" s="454">
        <v>13.8</v>
      </c>
      <c r="D16" s="431" t="s">
        <v>3112</v>
      </c>
      <c r="E16" s="448" t="s">
        <v>3121</v>
      </c>
      <c r="F16" s="448"/>
      <c r="G16" s="448"/>
      <c r="H16" s="448"/>
      <c r="I16" s="455" t="s">
        <v>3133</v>
      </c>
      <c r="J16" s="431" t="s">
        <v>3115</v>
      </c>
      <c r="K16" s="434" t="s">
        <v>3134</v>
      </c>
      <c r="L16" s="456">
        <v>174023.6</v>
      </c>
      <c r="M16" s="434" t="s">
        <v>3125</v>
      </c>
      <c r="N16" s="434"/>
      <c r="O16" s="434"/>
      <c r="P16" s="434"/>
      <c r="Q16" s="431"/>
      <c r="R16" s="431"/>
      <c r="S16" s="431"/>
      <c r="T16" s="457"/>
      <c r="U16" s="457"/>
      <c r="V16" s="457"/>
      <c r="W16" s="457"/>
      <c r="X16" s="457"/>
      <c r="Y16" s="458"/>
      <c r="Z16" s="434" t="s">
        <v>3126</v>
      </c>
      <c r="AA16" s="459"/>
      <c r="AB16" s="442"/>
      <c r="AC16" s="443"/>
    </row>
    <row r="17" spans="1:29" s="444" customFormat="1" ht="57" hidden="1" outlineLevel="1">
      <c r="A17" s="431">
        <f t="shared" si="0"/>
        <v>6</v>
      </c>
      <c r="B17" s="431" t="s">
        <v>3111</v>
      </c>
      <c r="C17" s="454">
        <v>7</v>
      </c>
      <c r="D17" s="431" t="s">
        <v>3112</v>
      </c>
      <c r="E17" s="448" t="s">
        <v>3121</v>
      </c>
      <c r="F17" s="448"/>
      <c r="G17" s="448"/>
      <c r="H17" s="448"/>
      <c r="I17" s="455" t="s">
        <v>3135</v>
      </c>
      <c r="J17" s="431" t="s">
        <v>3115</v>
      </c>
      <c r="K17" s="434"/>
      <c r="L17" s="434"/>
      <c r="M17" s="434"/>
      <c r="N17" s="434"/>
      <c r="O17" s="434"/>
      <c r="P17" s="434"/>
      <c r="Q17" s="431"/>
      <c r="R17" s="431"/>
      <c r="S17" s="431"/>
      <c r="T17" s="457"/>
      <c r="U17" s="457"/>
      <c r="V17" s="457"/>
      <c r="W17" s="457"/>
      <c r="X17" s="457"/>
      <c r="Y17" s="458"/>
      <c r="Z17" s="434" t="s">
        <v>3126</v>
      </c>
      <c r="AA17" s="459"/>
      <c r="AB17" s="442"/>
      <c r="AC17" s="443"/>
    </row>
    <row r="18" spans="1:29" s="444" customFormat="1" ht="28.5" hidden="1" outlineLevel="1">
      <c r="A18" s="431">
        <f t="shared" si="0"/>
        <v>7</v>
      </c>
      <c r="B18" s="431" t="s">
        <v>3111</v>
      </c>
      <c r="C18" s="461">
        <v>10</v>
      </c>
      <c r="D18" s="431" t="s">
        <v>3112</v>
      </c>
      <c r="E18" s="448" t="s">
        <v>3121</v>
      </c>
      <c r="F18" s="448"/>
      <c r="G18" s="448"/>
      <c r="H18" s="448"/>
      <c r="I18" s="455" t="s">
        <v>3136</v>
      </c>
      <c r="J18" s="431" t="s">
        <v>3115</v>
      </c>
      <c r="K18" s="434"/>
      <c r="L18" s="434"/>
      <c r="M18" s="434"/>
      <c r="N18" s="434"/>
      <c r="O18" s="434"/>
      <c r="P18" s="434"/>
      <c r="Q18" s="431"/>
      <c r="R18" s="431"/>
      <c r="S18" s="431"/>
      <c r="T18" s="457"/>
      <c r="U18" s="457"/>
      <c r="V18" s="457"/>
      <c r="W18" s="457"/>
      <c r="X18" s="457"/>
      <c r="Y18" s="458"/>
      <c r="Z18" s="434" t="s">
        <v>3126</v>
      </c>
      <c r="AA18" s="459"/>
      <c r="AB18" s="442"/>
      <c r="AC18" s="443"/>
    </row>
    <row r="19" spans="1:29" s="444" customFormat="1" ht="71.25" hidden="1" outlineLevel="1">
      <c r="A19" s="431">
        <f t="shared" si="0"/>
        <v>8</v>
      </c>
      <c r="B19" s="431" t="s">
        <v>3111</v>
      </c>
      <c r="C19" s="461">
        <v>50</v>
      </c>
      <c r="D19" s="431" t="s">
        <v>3112</v>
      </c>
      <c r="E19" s="448" t="s">
        <v>3121</v>
      </c>
      <c r="F19" s="448"/>
      <c r="G19" s="448"/>
      <c r="H19" s="448"/>
      <c r="I19" s="455" t="s">
        <v>3137</v>
      </c>
      <c r="J19" s="431" t="s">
        <v>3115</v>
      </c>
      <c r="K19" s="434"/>
      <c r="L19" s="434"/>
      <c r="M19" s="434"/>
      <c r="N19" s="434"/>
      <c r="O19" s="434"/>
      <c r="P19" s="434"/>
      <c r="Q19" s="431"/>
      <c r="R19" s="431"/>
      <c r="S19" s="431"/>
      <c r="T19" s="457"/>
      <c r="U19" s="457"/>
      <c r="V19" s="457"/>
      <c r="W19" s="457"/>
      <c r="X19" s="457"/>
      <c r="Y19" s="458"/>
      <c r="Z19" s="434" t="s">
        <v>3126</v>
      </c>
      <c r="AA19" s="459"/>
      <c r="AB19" s="442"/>
      <c r="AC19" s="443"/>
    </row>
    <row r="20" spans="1:29" s="444" customFormat="1" ht="42.75" hidden="1" outlineLevel="1">
      <c r="A20" s="431">
        <f t="shared" si="0"/>
        <v>9</v>
      </c>
      <c r="B20" s="431" t="s">
        <v>3111</v>
      </c>
      <c r="C20" s="431">
        <v>0.9</v>
      </c>
      <c r="D20" s="431" t="s">
        <v>3112</v>
      </c>
      <c r="E20" s="448" t="s">
        <v>3121</v>
      </c>
      <c r="F20" s="448"/>
      <c r="G20" s="448"/>
      <c r="H20" s="448"/>
      <c r="I20" s="461" t="s">
        <v>3138</v>
      </c>
      <c r="J20" s="431" t="s">
        <v>3115</v>
      </c>
      <c r="K20" s="434"/>
      <c r="L20" s="435"/>
      <c r="M20" s="434"/>
      <c r="N20" s="436"/>
      <c r="O20" s="437"/>
      <c r="P20" s="437"/>
      <c r="Q20" s="432"/>
      <c r="R20" s="432"/>
      <c r="S20" s="432"/>
      <c r="T20" s="438"/>
      <c r="U20" s="438"/>
      <c r="V20" s="438"/>
      <c r="W20" s="438"/>
      <c r="X20" s="438"/>
      <c r="Y20" s="439"/>
      <c r="Z20" s="440"/>
      <c r="AA20" s="441"/>
      <c r="AB20" s="442"/>
      <c r="AC20" s="443"/>
    </row>
    <row r="21" spans="1:29" s="444" customFormat="1" ht="57" hidden="1" outlineLevel="1">
      <c r="A21" s="431">
        <f t="shared" si="0"/>
        <v>10</v>
      </c>
      <c r="B21" s="431" t="s">
        <v>3111</v>
      </c>
      <c r="C21" s="431">
        <v>15</v>
      </c>
      <c r="D21" s="431" t="s">
        <v>3112</v>
      </c>
      <c r="E21" s="448" t="s">
        <v>3121</v>
      </c>
      <c r="F21" s="448"/>
      <c r="G21" s="448"/>
      <c r="H21" s="448"/>
      <c r="I21" s="461" t="s">
        <v>3139</v>
      </c>
      <c r="J21" s="431" t="s">
        <v>3115</v>
      </c>
      <c r="K21" s="434"/>
      <c r="L21" s="435"/>
      <c r="M21" s="434"/>
      <c r="N21" s="436"/>
      <c r="O21" s="437"/>
      <c r="P21" s="437"/>
      <c r="Q21" s="432"/>
      <c r="R21" s="432"/>
      <c r="S21" s="432"/>
      <c r="T21" s="438"/>
      <c r="U21" s="438"/>
      <c r="V21" s="438"/>
      <c r="W21" s="438"/>
      <c r="X21" s="438"/>
      <c r="Y21" s="439"/>
      <c r="Z21" s="440"/>
      <c r="AA21" s="441"/>
      <c r="AB21" s="442"/>
      <c r="AC21" s="443"/>
    </row>
    <row r="22" spans="1:29" s="444" customFormat="1" ht="57" hidden="1" outlineLevel="1">
      <c r="A22" s="431">
        <f t="shared" si="0"/>
        <v>11</v>
      </c>
      <c r="B22" s="431" t="s">
        <v>3111</v>
      </c>
      <c r="C22" s="431">
        <v>15</v>
      </c>
      <c r="D22" s="431" t="s">
        <v>3112</v>
      </c>
      <c r="E22" s="448" t="s">
        <v>3121</v>
      </c>
      <c r="F22" s="448"/>
      <c r="G22" s="448"/>
      <c r="H22" s="448"/>
      <c r="I22" s="461" t="s">
        <v>3140</v>
      </c>
      <c r="J22" s="431" t="s">
        <v>3115</v>
      </c>
      <c r="K22" s="434"/>
      <c r="L22" s="435"/>
      <c r="M22" s="434"/>
      <c r="N22" s="436"/>
      <c r="O22" s="437"/>
      <c r="P22" s="437"/>
      <c r="Q22" s="432"/>
      <c r="R22" s="432"/>
      <c r="S22" s="432"/>
      <c r="T22" s="438"/>
      <c r="U22" s="438"/>
      <c r="V22" s="438"/>
      <c r="W22" s="438"/>
      <c r="X22" s="438"/>
      <c r="Y22" s="439"/>
      <c r="Z22" s="440"/>
      <c r="AA22" s="441"/>
      <c r="AB22" s="442"/>
      <c r="AC22" s="443"/>
    </row>
    <row r="23" spans="1:29" s="444" customFormat="1" ht="57" hidden="1" outlineLevel="1">
      <c r="A23" s="431">
        <f t="shared" si="0"/>
        <v>12</v>
      </c>
      <c r="B23" s="431" t="s">
        <v>3111</v>
      </c>
      <c r="C23" s="431">
        <v>11</v>
      </c>
      <c r="D23" s="431" t="s">
        <v>3112</v>
      </c>
      <c r="E23" s="448" t="s">
        <v>3121</v>
      </c>
      <c r="F23" s="448"/>
      <c r="G23" s="448"/>
      <c r="H23" s="448"/>
      <c r="I23" s="461" t="s">
        <v>3141</v>
      </c>
      <c r="J23" s="431" t="s">
        <v>3115</v>
      </c>
      <c r="K23" s="434"/>
      <c r="L23" s="435"/>
      <c r="M23" s="434"/>
      <c r="N23" s="436"/>
      <c r="O23" s="437"/>
      <c r="P23" s="437"/>
      <c r="Q23" s="432"/>
      <c r="R23" s="432"/>
      <c r="S23" s="432"/>
      <c r="T23" s="438"/>
      <c r="U23" s="438"/>
      <c r="V23" s="438"/>
      <c r="W23" s="438"/>
      <c r="X23" s="438"/>
      <c r="Y23" s="439"/>
      <c r="Z23" s="440"/>
      <c r="AA23" s="441"/>
      <c r="AB23" s="442"/>
      <c r="AC23" s="443"/>
    </row>
    <row r="24" spans="1:29" s="444" customFormat="1" ht="71.25" hidden="1" outlineLevel="1">
      <c r="A24" s="431">
        <f t="shared" si="0"/>
        <v>13</v>
      </c>
      <c r="B24" s="431" t="s">
        <v>3111</v>
      </c>
      <c r="C24" s="431">
        <v>1.4</v>
      </c>
      <c r="D24" s="431" t="s">
        <v>3112</v>
      </c>
      <c r="E24" s="448" t="s">
        <v>3121</v>
      </c>
      <c r="F24" s="448"/>
      <c r="G24" s="448"/>
      <c r="H24" s="448"/>
      <c r="I24" s="461" t="s">
        <v>3142</v>
      </c>
      <c r="J24" s="431" t="s">
        <v>3115</v>
      </c>
      <c r="K24" s="434"/>
      <c r="L24" s="435"/>
      <c r="M24" s="434"/>
      <c r="N24" s="436"/>
      <c r="O24" s="437"/>
      <c r="P24" s="437"/>
      <c r="Q24" s="432"/>
      <c r="R24" s="432"/>
      <c r="S24" s="432"/>
      <c r="T24" s="438"/>
      <c r="U24" s="438"/>
      <c r="V24" s="438"/>
      <c r="W24" s="438"/>
      <c r="X24" s="438"/>
      <c r="Y24" s="439"/>
      <c r="Z24" s="440"/>
      <c r="AA24" s="441"/>
      <c r="AB24" s="442"/>
      <c r="AC24" s="443"/>
    </row>
    <row r="25" spans="1:29" s="444" customFormat="1" ht="42.75" hidden="1" outlineLevel="1">
      <c r="A25" s="431">
        <f t="shared" si="0"/>
        <v>14</v>
      </c>
      <c r="B25" s="431" t="s">
        <v>3111</v>
      </c>
      <c r="C25" s="431">
        <v>15</v>
      </c>
      <c r="D25" s="431" t="s">
        <v>3112</v>
      </c>
      <c r="E25" s="448" t="s">
        <v>3121</v>
      </c>
      <c r="F25" s="448"/>
      <c r="G25" s="448"/>
      <c r="H25" s="448"/>
      <c r="I25" s="461" t="s">
        <v>3143</v>
      </c>
      <c r="J25" s="431" t="s">
        <v>3115</v>
      </c>
      <c r="K25" s="434"/>
      <c r="L25" s="435"/>
      <c r="M25" s="434"/>
      <c r="N25" s="436"/>
      <c r="O25" s="437"/>
      <c r="P25" s="437"/>
      <c r="Q25" s="432"/>
      <c r="R25" s="432"/>
      <c r="S25" s="432"/>
      <c r="T25" s="438"/>
      <c r="U25" s="438"/>
      <c r="V25" s="438"/>
      <c r="W25" s="438"/>
      <c r="X25" s="438"/>
      <c r="Y25" s="439"/>
      <c r="Z25" s="440"/>
      <c r="AA25" s="441"/>
      <c r="AB25" s="442"/>
      <c r="AC25" s="443"/>
    </row>
    <row r="26" spans="1:29" s="444" customFormat="1" ht="28.5" hidden="1" outlineLevel="1">
      <c r="A26" s="431">
        <f t="shared" si="0"/>
        <v>15</v>
      </c>
      <c r="B26" s="431" t="s">
        <v>3111</v>
      </c>
      <c r="C26" s="431">
        <v>2.5</v>
      </c>
      <c r="D26" s="431" t="s">
        <v>3112</v>
      </c>
      <c r="E26" s="431" t="s">
        <v>3144</v>
      </c>
      <c r="F26" s="431"/>
      <c r="G26" s="431"/>
      <c r="H26" s="431"/>
      <c r="I26" s="461" t="s">
        <v>3145</v>
      </c>
      <c r="J26" s="431" t="s">
        <v>3115</v>
      </c>
      <c r="K26" s="434"/>
      <c r="L26" s="435"/>
      <c r="M26" s="434"/>
      <c r="N26" s="436"/>
      <c r="O26" s="437"/>
      <c r="P26" s="437"/>
      <c r="Q26" s="432"/>
      <c r="R26" s="432"/>
      <c r="S26" s="432"/>
      <c r="T26" s="438"/>
      <c r="U26" s="438"/>
      <c r="V26" s="438"/>
      <c r="W26" s="438"/>
      <c r="X26" s="438"/>
      <c r="Y26" s="439"/>
      <c r="Z26" s="440"/>
      <c r="AA26" s="441"/>
      <c r="AB26" s="442"/>
      <c r="AC26" s="443"/>
    </row>
    <row r="27" spans="1:29" s="444" customFormat="1" ht="42.75" hidden="1" outlineLevel="1">
      <c r="A27" s="431">
        <f t="shared" si="0"/>
        <v>16</v>
      </c>
      <c r="B27" s="431" t="s">
        <v>3111</v>
      </c>
      <c r="C27" s="431">
        <v>8</v>
      </c>
      <c r="D27" s="431" t="s">
        <v>3112</v>
      </c>
      <c r="E27" s="431" t="s">
        <v>3144</v>
      </c>
      <c r="F27" s="431"/>
      <c r="G27" s="431"/>
      <c r="H27" s="431"/>
      <c r="I27" s="461" t="s">
        <v>3146</v>
      </c>
      <c r="J27" s="431" t="s">
        <v>3115</v>
      </c>
      <c r="K27" s="434"/>
      <c r="L27" s="435"/>
      <c r="M27" s="434"/>
      <c r="N27" s="436"/>
      <c r="O27" s="437"/>
      <c r="P27" s="437"/>
      <c r="Q27" s="432"/>
      <c r="R27" s="432"/>
      <c r="S27" s="432"/>
      <c r="T27" s="438"/>
      <c r="U27" s="438"/>
      <c r="V27" s="438"/>
      <c r="W27" s="438"/>
      <c r="X27" s="438"/>
      <c r="Y27" s="439"/>
      <c r="Z27" s="440"/>
      <c r="AA27" s="441"/>
      <c r="AB27" s="442"/>
      <c r="AC27" s="443"/>
    </row>
    <row r="28" spans="1:29" s="444" customFormat="1" ht="28.5" hidden="1" outlineLevel="1">
      <c r="A28" s="431">
        <f t="shared" si="0"/>
        <v>17</v>
      </c>
      <c r="B28" s="431" t="s">
        <v>3111</v>
      </c>
      <c r="C28" s="431">
        <v>5</v>
      </c>
      <c r="D28" s="431" t="s">
        <v>3112</v>
      </c>
      <c r="E28" s="431" t="s">
        <v>3144</v>
      </c>
      <c r="F28" s="431"/>
      <c r="G28" s="431"/>
      <c r="H28" s="431"/>
      <c r="I28" s="461" t="s">
        <v>3147</v>
      </c>
      <c r="J28" s="431" t="s">
        <v>3115</v>
      </c>
      <c r="K28" s="434"/>
      <c r="L28" s="435"/>
      <c r="M28" s="434"/>
      <c r="N28" s="436"/>
      <c r="O28" s="437"/>
      <c r="P28" s="437"/>
      <c r="Q28" s="432"/>
      <c r="R28" s="432"/>
      <c r="S28" s="432"/>
      <c r="T28" s="438"/>
      <c r="U28" s="438"/>
      <c r="V28" s="438"/>
      <c r="W28" s="438"/>
      <c r="X28" s="438"/>
      <c r="Y28" s="439"/>
      <c r="Z28" s="440"/>
      <c r="AA28" s="441"/>
      <c r="AB28" s="442"/>
      <c r="AC28" s="443"/>
    </row>
    <row r="29" spans="1:29" s="444" customFormat="1" ht="28.5" hidden="1" outlineLevel="1">
      <c r="A29" s="431">
        <f t="shared" si="0"/>
        <v>18</v>
      </c>
      <c r="B29" s="431" t="s">
        <v>3111</v>
      </c>
      <c r="C29" s="431">
        <v>15</v>
      </c>
      <c r="D29" s="431" t="s">
        <v>3112</v>
      </c>
      <c r="E29" s="431" t="s">
        <v>3144</v>
      </c>
      <c r="F29" s="431"/>
      <c r="G29" s="431"/>
      <c r="H29" s="431"/>
      <c r="I29" s="461" t="s">
        <v>3148</v>
      </c>
      <c r="J29" s="431" t="s">
        <v>3115</v>
      </c>
      <c r="K29" s="434"/>
      <c r="L29" s="435"/>
      <c r="M29" s="434"/>
      <c r="N29" s="436"/>
      <c r="O29" s="437"/>
      <c r="P29" s="437"/>
      <c r="Q29" s="432"/>
      <c r="R29" s="432"/>
      <c r="S29" s="432"/>
      <c r="T29" s="438"/>
      <c r="U29" s="438"/>
      <c r="V29" s="438"/>
      <c r="W29" s="438"/>
      <c r="X29" s="438"/>
      <c r="Y29" s="439"/>
      <c r="Z29" s="440"/>
      <c r="AA29" s="441"/>
      <c r="AB29" s="442"/>
      <c r="AC29" s="443"/>
    </row>
    <row r="30" spans="1:29" s="444" customFormat="1" ht="42.75" hidden="1" outlineLevel="1">
      <c r="A30" s="431">
        <f t="shared" si="0"/>
        <v>19</v>
      </c>
      <c r="B30" s="431" t="s">
        <v>3111</v>
      </c>
      <c r="C30" s="431">
        <v>5</v>
      </c>
      <c r="D30" s="431" t="s">
        <v>3112</v>
      </c>
      <c r="E30" s="431" t="s">
        <v>3144</v>
      </c>
      <c r="F30" s="431"/>
      <c r="G30" s="431"/>
      <c r="H30" s="431"/>
      <c r="I30" s="461" t="s">
        <v>3149</v>
      </c>
      <c r="J30" s="431" t="s">
        <v>3115</v>
      </c>
      <c r="K30" s="434"/>
      <c r="L30" s="435"/>
      <c r="M30" s="434"/>
      <c r="N30" s="436"/>
      <c r="O30" s="437"/>
      <c r="P30" s="437"/>
      <c r="Q30" s="432"/>
      <c r="R30" s="432"/>
      <c r="S30" s="432"/>
      <c r="T30" s="438"/>
      <c r="U30" s="438"/>
      <c r="V30" s="438"/>
      <c r="W30" s="438"/>
      <c r="X30" s="438"/>
      <c r="Y30" s="439"/>
      <c r="Z30" s="440"/>
      <c r="AA30" s="441"/>
      <c r="AB30" s="442"/>
      <c r="AC30" s="443"/>
    </row>
    <row r="31" spans="1:29" s="444" customFormat="1" ht="28.5" hidden="1" outlineLevel="1">
      <c r="A31" s="431">
        <f t="shared" si="0"/>
        <v>20</v>
      </c>
      <c r="B31" s="431" t="s">
        <v>3111</v>
      </c>
      <c r="C31" s="431">
        <v>10</v>
      </c>
      <c r="D31" s="431" t="s">
        <v>3112</v>
      </c>
      <c r="E31" s="431" t="s">
        <v>3144</v>
      </c>
      <c r="F31" s="431"/>
      <c r="G31" s="431"/>
      <c r="H31" s="431"/>
      <c r="I31" s="461" t="s">
        <v>3150</v>
      </c>
      <c r="J31" s="431" t="s">
        <v>3115</v>
      </c>
      <c r="K31" s="434"/>
      <c r="L31" s="435"/>
      <c r="M31" s="434"/>
      <c r="N31" s="436"/>
      <c r="O31" s="437"/>
      <c r="P31" s="437"/>
      <c r="Q31" s="432"/>
      <c r="R31" s="432"/>
      <c r="S31" s="432"/>
      <c r="T31" s="438"/>
      <c r="U31" s="438"/>
      <c r="V31" s="438"/>
      <c r="W31" s="438"/>
      <c r="X31" s="438"/>
      <c r="Y31" s="439"/>
      <c r="Z31" s="440"/>
      <c r="AA31" s="441"/>
      <c r="AB31" s="442"/>
      <c r="AC31" s="443"/>
    </row>
    <row r="32" spans="1:29" s="444" customFormat="1" ht="28.5" hidden="1" outlineLevel="1">
      <c r="A32" s="431">
        <f t="shared" si="0"/>
        <v>21</v>
      </c>
      <c r="B32" s="431" t="s">
        <v>3111</v>
      </c>
      <c r="C32" s="431">
        <v>13.8</v>
      </c>
      <c r="D32" s="431" t="s">
        <v>3112</v>
      </c>
      <c r="E32" s="431" t="s">
        <v>3144</v>
      </c>
      <c r="F32" s="431"/>
      <c r="G32" s="431"/>
      <c r="H32" s="431"/>
      <c r="I32" s="461" t="s">
        <v>3151</v>
      </c>
      <c r="J32" s="431" t="s">
        <v>3115</v>
      </c>
      <c r="K32" s="434"/>
      <c r="L32" s="435"/>
      <c r="M32" s="434"/>
      <c r="N32" s="436"/>
      <c r="O32" s="437"/>
      <c r="P32" s="437"/>
      <c r="Q32" s="432"/>
      <c r="R32" s="432"/>
      <c r="S32" s="432"/>
      <c r="T32" s="438"/>
      <c r="U32" s="438"/>
      <c r="V32" s="438"/>
      <c r="W32" s="438"/>
      <c r="X32" s="438"/>
      <c r="Y32" s="439"/>
      <c r="Z32" s="440"/>
      <c r="AA32" s="441"/>
      <c r="AB32" s="442"/>
      <c r="AC32" s="443"/>
    </row>
    <row r="33" spans="1:29" s="444" customFormat="1" ht="28.5" hidden="1" outlineLevel="1">
      <c r="A33" s="431">
        <f t="shared" si="0"/>
        <v>22</v>
      </c>
      <c r="B33" s="431" t="s">
        <v>3111</v>
      </c>
      <c r="C33" s="431">
        <v>6</v>
      </c>
      <c r="D33" s="431" t="s">
        <v>3112</v>
      </c>
      <c r="E33" s="431" t="s">
        <v>3144</v>
      </c>
      <c r="F33" s="431"/>
      <c r="G33" s="431"/>
      <c r="H33" s="431"/>
      <c r="I33" s="461" t="s">
        <v>3152</v>
      </c>
      <c r="J33" s="431" t="s">
        <v>3115</v>
      </c>
      <c r="K33" s="434"/>
      <c r="L33" s="435"/>
      <c r="M33" s="434"/>
      <c r="N33" s="436"/>
      <c r="O33" s="437"/>
      <c r="P33" s="437"/>
      <c r="Q33" s="432"/>
      <c r="R33" s="432"/>
      <c r="S33" s="432"/>
      <c r="T33" s="438"/>
      <c r="U33" s="438"/>
      <c r="V33" s="438"/>
      <c r="W33" s="438"/>
      <c r="X33" s="438"/>
      <c r="Y33" s="439"/>
      <c r="Z33" s="440"/>
      <c r="AA33" s="441"/>
      <c r="AB33" s="442"/>
      <c r="AC33" s="443"/>
    </row>
    <row r="34" spans="1:29" s="444" customFormat="1" ht="28.5" hidden="1" outlineLevel="1">
      <c r="A34" s="431">
        <f t="shared" si="0"/>
        <v>23</v>
      </c>
      <c r="B34" s="431" t="s">
        <v>3111</v>
      </c>
      <c r="C34" s="431">
        <v>7.5</v>
      </c>
      <c r="D34" s="431" t="s">
        <v>3112</v>
      </c>
      <c r="E34" s="431" t="s">
        <v>3144</v>
      </c>
      <c r="F34" s="431"/>
      <c r="G34" s="431"/>
      <c r="H34" s="431"/>
      <c r="I34" s="461" t="s">
        <v>3153</v>
      </c>
      <c r="J34" s="431" t="s">
        <v>3115</v>
      </c>
      <c r="K34" s="434"/>
      <c r="L34" s="435"/>
      <c r="M34" s="434"/>
      <c r="N34" s="436"/>
      <c r="O34" s="437"/>
      <c r="P34" s="437"/>
      <c r="Q34" s="432"/>
      <c r="R34" s="432"/>
      <c r="S34" s="432"/>
      <c r="T34" s="438"/>
      <c r="U34" s="438"/>
      <c r="V34" s="438"/>
      <c r="W34" s="438"/>
      <c r="X34" s="438"/>
      <c r="Y34" s="439"/>
      <c r="Z34" s="440"/>
      <c r="AA34" s="441"/>
      <c r="AB34" s="442"/>
      <c r="AC34" s="443"/>
    </row>
    <row r="35" spans="1:29" s="444" customFormat="1" ht="28.5" hidden="1" outlineLevel="1">
      <c r="A35" s="431">
        <f t="shared" si="0"/>
        <v>24</v>
      </c>
      <c r="B35" s="431" t="s">
        <v>3111</v>
      </c>
      <c r="C35" s="431">
        <v>8.5</v>
      </c>
      <c r="D35" s="431" t="s">
        <v>3112</v>
      </c>
      <c r="E35" s="431" t="s">
        <v>3144</v>
      </c>
      <c r="F35" s="431"/>
      <c r="G35" s="431"/>
      <c r="H35" s="431"/>
      <c r="I35" s="461" t="s">
        <v>3154</v>
      </c>
      <c r="J35" s="431" t="s">
        <v>3115</v>
      </c>
      <c r="K35" s="434"/>
      <c r="L35" s="435"/>
      <c r="M35" s="434"/>
      <c r="N35" s="436"/>
      <c r="O35" s="437"/>
      <c r="P35" s="437"/>
      <c r="Q35" s="432"/>
      <c r="R35" s="432"/>
      <c r="S35" s="432"/>
      <c r="T35" s="438"/>
      <c r="U35" s="438"/>
      <c r="V35" s="438"/>
      <c r="W35" s="438"/>
      <c r="X35" s="438"/>
      <c r="Y35" s="439"/>
      <c r="Z35" s="440"/>
      <c r="AA35" s="441"/>
      <c r="AB35" s="442"/>
      <c r="AC35" s="443"/>
    </row>
    <row r="36" spans="1:29" s="471" customFormat="1" ht="34.5" hidden="1" customHeight="1" outlineLevel="1">
      <c r="A36" s="462">
        <v>2</v>
      </c>
      <c r="B36" s="423" t="s">
        <v>3111</v>
      </c>
      <c r="C36" s="424">
        <v>194</v>
      </c>
      <c r="D36" s="424" t="s">
        <v>3112</v>
      </c>
      <c r="E36" s="422" t="s">
        <v>3155</v>
      </c>
      <c r="F36" s="422">
        <v>5</v>
      </c>
      <c r="G36" s="422">
        <v>3</v>
      </c>
      <c r="H36" s="422">
        <v>2012</v>
      </c>
      <c r="I36" s="422" t="s">
        <v>3114</v>
      </c>
      <c r="J36" s="422" t="s">
        <v>3156</v>
      </c>
      <c r="K36" s="463" t="s">
        <v>3157</v>
      </c>
      <c r="L36" s="425">
        <v>66272.08</v>
      </c>
      <c r="M36" s="425" t="s">
        <v>3158</v>
      </c>
      <c r="N36" s="426" t="s">
        <v>3159</v>
      </c>
      <c r="O36" s="464"/>
      <c r="P36" s="464"/>
      <c r="Q36" s="422" t="s">
        <v>3160</v>
      </c>
      <c r="R36" s="465" t="s">
        <v>4967</v>
      </c>
      <c r="S36" s="513">
        <v>41172</v>
      </c>
      <c r="T36" s="466">
        <v>109496.66</v>
      </c>
      <c r="U36" s="466">
        <v>109496.66</v>
      </c>
      <c r="V36" s="1425">
        <v>41208</v>
      </c>
      <c r="W36" s="513"/>
      <c r="X36" s="513"/>
      <c r="Y36" s="467"/>
      <c r="Z36" s="468" t="s">
        <v>5007</v>
      </c>
      <c r="AA36" s="467">
        <v>41200</v>
      </c>
      <c r="AB36" s="469"/>
      <c r="AC36" s="470"/>
    </row>
    <row r="37" spans="1:29" s="420" customFormat="1" ht="21" customHeight="1">
      <c r="A37" s="410"/>
      <c r="B37" s="410" t="s">
        <v>3161</v>
      </c>
      <c r="C37" s="412"/>
      <c r="D37" s="413"/>
      <c r="E37" s="410"/>
      <c r="F37" s="410"/>
      <c r="G37" s="410"/>
      <c r="H37" s="410"/>
      <c r="I37" s="414"/>
      <c r="J37" s="412"/>
      <c r="K37" s="415"/>
      <c r="L37" s="416"/>
      <c r="M37" s="415"/>
      <c r="N37" s="417"/>
      <c r="O37" s="418"/>
      <c r="P37" s="418"/>
      <c r="Q37" s="414"/>
      <c r="R37" s="410"/>
      <c r="S37" s="410"/>
      <c r="T37" s="410"/>
      <c r="U37" s="410"/>
      <c r="V37" s="410"/>
      <c r="W37" s="410"/>
      <c r="X37" s="410"/>
      <c r="Y37" s="414"/>
      <c r="Z37" s="414"/>
      <c r="AA37" s="472"/>
      <c r="AB37" s="415"/>
      <c r="AC37" s="419"/>
    </row>
    <row r="38" spans="1:29" s="430" customFormat="1" ht="28.5">
      <c r="A38" s="424">
        <f>A36+1</f>
        <v>3</v>
      </c>
      <c r="B38" s="424" t="s">
        <v>4843</v>
      </c>
      <c r="C38" s="424">
        <v>150</v>
      </c>
      <c r="D38" s="424" t="s">
        <v>3112</v>
      </c>
      <c r="E38" s="422" t="s">
        <v>3162</v>
      </c>
      <c r="F38" s="422">
        <v>3</v>
      </c>
      <c r="G38" s="422">
        <v>2</v>
      </c>
      <c r="H38" s="422">
        <v>2009</v>
      </c>
      <c r="I38" s="422" t="s">
        <v>3163</v>
      </c>
      <c r="J38" s="463" t="s">
        <v>3164</v>
      </c>
      <c r="K38" s="473"/>
      <c r="L38" s="473"/>
      <c r="M38" s="473" t="s">
        <v>3568</v>
      </c>
      <c r="N38" s="473" t="s">
        <v>3165</v>
      </c>
      <c r="O38" s="473" t="s">
        <v>3166</v>
      </c>
      <c r="P38" s="473" t="s">
        <v>3167</v>
      </c>
      <c r="Q38" s="424" t="s">
        <v>3168</v>
      </c>
      <c r="R38" s="424" t="s">
        <v>4966</v>
      </c>
      <c r="S38" s="427">
        <v>40158</v>
      </c>
      <c r="T38" s="425">
        <v>1400943.3</v>
      </c>
      <c r="U38" s="425">
        <v>1400943.2</v>
      </c>
      <c r="V38" s="425"/>
      <c r="W38" s="425"/>
      <c r="X38" s="425"/>
      <c r="Y38" s="427">
        <v>40298</v>
      </c>
      <c r="Z38" s="463" t="s">
        <v>5008</v>
      </c>
      <c r="AA38" s="1425">
        <v>40389</v>
      </c>
      <c r="AB38" s="474"/>
      <c r="AC38" s="475"/>
    </row>
    <row r="39" spans="1:29" ht="28.5">
      <c r="A39" s="476">
        <f t="shared" ref="A39:A45" si="1">A38+1</f>
        <v>4</v>
      </c>
      <c r="B39" s="476" t="s">
        <v>4843</v>
      </c>
      <c r="C39" s="476">
        <v>184.8</v>
      </c>
      <c r="D39" s="476" t="s">
        <v>3112</v>
      </c>
      <c r="E39" s="477" t="s">
        <v>2811</v>
      </c>
      <c r="F39" s="477">
        <v>7</v>
      </c>
      <c r="G39" s="477">
        <v>10</v>
      </c>
      <c r="H39" s="477">
        <v>2009</v>
      </c>
      <c r="I39" s="477" t="s">
        <v>2812</v>
      </c>
      <c r="J39" s="477" t="s">
        <v>2813</v>
      </c>
      <c r="K39" s="476"/>
      <c r="L39" s="476"/>
      <c r="M39" s="476"/>
      <c r="N39" s="476"/>
      <c r="O39" s="476"/>
      <c r="P39" s="476"/>
      <c r="Q39" s="476" t="s">
        <v>3031</v>
      </c>
      <c r="R39" s="476" t="s">
        <v>4969</v>
      </c>
      <c r="S39" s="479">
        <v>40302</v>
      </c>
      <c r="T39" s="478">
        <v>208710</v>
      </c>
      <c r="U39" s="478">
        <v>0</v>
      </c>
      <c r="V39" s="478"/>
      <c r="W39" s="478"/>
      <c r="X39" s="478"/>
      <c r="Y39" s="479">
        <v>40389</v>
      </c>
      <c r="Z39" s="476"/>
      <c r="AA39" s="480"/>
      <c r="AB39" s="481" t="s">
        <v>2814</v>
      </c>
      <c r="AC39" s="482"/>
    </row>
    <row r="40" spans="1:29" ht="28.5">
      <c r="A40" s="476">
        <f t="shared" si="1"/>
        <v>5</v>
      </c>
      <c r="B40" s="476" t="s">
        <v>4843</v>
      </c>
      <c r="C40" s="476">
        <v>144.4</v>
      </c>
      <c r="D40" s="476" t="s">
        <v>3112</v>
      </c>
      <c r="E40" s="477" t="s">
        <v>2815</v>
      </c>
      <c r="F40" s="477">
        <v>7</v>
      </c>
      <c r="G40" s="477">
        <v>10</v>
      </c>
      <c r="H40" s="477">
        <v>2009</v>
      </c>
      <c r="I40" s="477" t="s">
        <v>2816</v>
      </c>
      <c r="J40" s="477" t="s">
        <v>2817</v>
      </c>
      <c r="K40" s="476"/>
      <c r="L40" s="476"/>
      <c r="M40" s="476"/>
      <c r="N40" s="476"/>
      <c r="O40" s="476"/>
      <c r="P40" s="476"/>
      <c r="Q40" s="476" t="s">
        <v>3031</v>
      </c>
      <c r="R40" s="476" t="s">
        <v>4970</v>
      </c>
      <c r="S40" s="479">
        <v>40302</v>
      </c>
      <c r="T40" s="478">
        <v>208710</v>
      </c>
      <c r="U40" s="478">
        <v>0</v>
      </c>
      <c r="V40" s="478"/>
      <c r="W40" s="478"/>
      <c r="X40" s="478"/>
      <c r="Y40" s="479">
        <v>40389</v>
      </c>
      <c r="Z40" s="476"/>
      <c r="AA40" s="480"/>
      <c r="AB40" s="481" t="s">
        <v>2814</v>
      </c>
      <c r="AC40" s="482"/>
    </row>
    <row r="41" spans="1:29" s="484" customFormat="1" ht="19.5" customHeight="1">
      <c r="A41" s="476">
        <f t="shared" si="1"/>
        <v>6</v>
      </c>
      <c r="B41" s="476" t="s">
        <v>4843</v>
      </c>
      <c r="C41" s="476">
        <v>40</v>
      </c>
      <c r="D41" s="476" t="s">
        <v>3112</v>
      </c>
      <c r="E41" s="477" t="s">
        <v>2818</v>
      </c>
      <c r="F41" s="477">
        <v>12</v>
      </c>
      <c r="G41" s="477">
        <v>10</v>
      </c>
      <c r="H41" s="477">
        <v>2010</v>
      </c>
      <c r="I41" s="477" t="s">
        <v>2819</v>
      </c>
      <c r="J41" s="477" t="s">
        <v>2820</v>
      </c>
      <c r="K41" s="476"/>
      <c r="L41" s="476"/>
      <c r="M41" s="476"/>
      <c r="N41" s="476"/>
      <c r="O41" s="476"/>
      <c r="P41" s="476"/>
      <c r="Q41" s="476" t="s">
        <v>2821</v>
      </c>
      <c r="R41" s="476"/>
      <c r="S41" s="476"/>
      <c r="T41" s="478">
        <f>144230.35*1.18</f>
        <v>170191.81299999999</v>
      </c>
      <c r="U41" s="478">
        <v>0</v>
      </c>
      <c r="V41" s="478"/>
      <c r="W41" s="478"/>
      <c r="X41" s="478"/>
      <c r="Y41" s="479">
        <v>40787</v>
      </c>
      <c r="Z41" s="476"/>
      <c r="AA41" s="480"/>
      <c r="AB41" s="1429" t="s">
        <v>2814</v>
      </c>
      <c r="AC41" s="483"/>
    </row>
    <row r="42" spans="1:29" s="486" customFormat="1" ht="39" customHeight="1">
      <c r="A42" s="424">
        <f t="shared" si="1"/>
        <v>7</v>
      </c>
      <c r="B42" s="423" t="s">
        <v>4843</v>
      </c>
      <c r="C42" s="423">
        <v>695</v>
      </c>
      <c r="D42" s="423" t="s">
        <v>3112</v>
      </c>
      <c r="E42" s="422" t="s">
        <v>2822</v>
      </c>
      <c r="F42" s="422">
        <v>25</v>
      </c>
      <c r="G42" s="422">
        <v>1</v>
      </c>
      <c r="H42" s="422">
        <v>2011</v>
      </c>
      <c r="I42" s="485" t="s">
        <v>2823</v>
      </c>
      <c r="J42" s="422" t="s">
        <v>2824</v>
      </c>
      <c r="K42" s="422" t="s">
        <v>2825</v>
      </c>
      <c r="L42" s="425">
        <f>140934.89</f>
        <v>140934.89000000001</v>
      </c>
      <c r="M42" s="422" t="s">
        <v>2826</v>
      </c>
      <c r="N42" s="473" t="s">
        <v>2827</v>
      </c>
      <c r="O42" s="474"/>
      <c r="P42" s="474"/>
      <c r="Q42" s="424" t="s">
        <v>2828</v>
      </c>
      <c r="R42" s="424" t="s">
        <v>4971</v>
      </c>
      <c r="S42" s="427">
        <v>40855</v>
      </c>
      <c r="T42" s="425">
        <f>168773.04*0+143028*1.18</f>
        <v>168773.03999999998</v>
      </c>
      <c r="U42" s="426">
        <v>168773.04</v>
      </c>
      <c r="V42" s="1425">
        <v>41096</v>
      </c>
      <c r="W42" s="1425"/>
      <c r="X42" s="1425"/>
      <c r="Y42" s="424" t="s">
        <v>2829</v>
      </c>
      <c r="Z42" s="463" t="s">
        <v>5009</v>
      </c>
      <c r="AA42" s="1425">
        <v>41159</v>
      </c>
      <c r="AB42" s="474"/>
      <c r="AC42" s="475"/>
    </row>
    <row r="43" spans="1:29" s="486" customFormat="1" ht="28.5" customHeight="1">
      <c r="A43" s="424">
        <f t="shared" si="1"/>
        <v>8</v>
      </c>
      <c r="B43" s="423" t="s">
        <v>4843</v>
      </c>
      <c r="C43" s="423">
        <v>595</v>
      </c>
      <c r="D43" s="423" t="s">
        <v>3112</v>
      </c>
      <c r="E43" s="422" t="s">
        <v>2830</v>
      </c>
      <c r="F43" s="422">
        <v>25</v>
      </c>
      <c r="G43" s="422">
        <v>1</v>
      </c>
      <c r="H43" s="422">
        <v>2011</v>
      </c>
      <c r="I43" s="487" t="s">
        <v>2831</v>
      </c>
      <c r="J43" s="422" t="s">
        <v>2832</v>
      </c>
      <c r="K43" s="422" t="s">
        <v>2833</v>
      </c>
      <c r="L43" s="425">
        <f>140934.89</f>
        <v>140934.89000000001</v>
      </c>
      <c r="M43" s="422" t="s">
        <v>2834</v>
      </c>
      <c r="N43" s="488" t="s">
        <v>2835</v>
      </c>
      <c r="O43" s="489"/>
      <c r="P43" s="489"/>
      <c r="Q43" s="424" t="s">
        <v>3119</v>
      </c>
      <c r="R43" s="424" t="s">
        <v>4972</v>
      </c>
      <c r="S43" s="539">
        <v>40984</v>
      </c>
      <c r="T43" s="490">
        <v>164597.43</v>
      </c>
      <c r="U43" s="466">
        <v>164597.43</v>
      </c>
      <c r="V43" s="1425">
        <v>41373</v>
      </c>
      <c r="W43" s="513"/>
      <c r="X43" s="513"/>
      <c r="Y43" s="491"/>
      <c r="Z43" s="463" t="s">
        <v>5010</v>
      </c>
      <c r="AA43" s="1425">
        <v>41450</v>
      </c>
      <c r="AB43" s="428"/>
      <c r="AC43" s="429"/>
    </row>
    <row r="44" spans="1:29" s="486" customFormat="1" ht="28.5" customHeight="1">
      <c r="A44" s="424">
        <f t="shared" si="1"/>
        <v>9</v>
      </c>
      <c r="B44" s="423" t="s">
        <v>4843</v>
      </c>
      <c r="C44" s="423">
        <v>60</v>
      </c>
      <c r="D44" s="423" t="s">
        <v>3112</v>
      </c>
      <c r="E44" s="422" t="s">
        <v>2836</v>
      </c>
      <c r="F44" s="465">
        <v>6</v>
      </c>
      <c r="G44" s="465">
        <v>7</v>
      </c>
      <c r="H44" s="465">
        <v>2012</v>
      </c>
      <c r="I44" s="487" t="s">
        <v>2837</v>
      </c>
      <c r="J44" s="422" t="s">
        <v>2838</v>
      </c>
      <c r="K44" s="422" t="s">
        <v>2839</v>
      </c>
      <c r="L44" s="426">
        <v>66272.08</v>
      </c>
      <c r="M44" s="426" t="s">
        <v>2840</v>
      </c>
      <c r="N44" s="422" t="s">
        <v>2841</v>
      </c>
      <c r="O44" s="489"/>
      <c r="P44" s="489"/>
      <c r="Q44" s="424" t="s">
        <v>2842</v>
      </c>
      <c r="R44" s="424" t="s">
        <v>4973</v>
      </c>
      <c r="S44" s="539">
        <v>41221</v>
      </c>
      <c r="T44" s="490">
        <v>109496.66</v>
      </c>
      <c r="U44" s="466">
        <v>109496.66</v>
      </c>
      <c r="V44" s="1425">
        <v>41569</v>
      </c>
      <c r="W44" s="513"/>
      <c r="X44" s="513"/>
      <c r="Y44" s="491"/>
      <c r="Z44" s="463" t="s">
        <v>5011</v>
      </c>
      <c r="AA44" s="1425">
        <v>41618</v>
      </c>
      <c r="AB44" s="428"/>
      <c r="AC44" s="429"/>
    </row>
    <row r="45" spans="1:29" s="492" customFormat="1" ht="46.5" customHeight="1">
      <c r="A45" s="424">
        <f t="shared" si="1"/>
        <v>10</v>
      </c>
      <c r="B45" s="423" t="s">
        <v>4843</v>
      </c>
      <c r="C45" s="423">
        <v>49</v>
      </c>
      <c r="D45" s="423" t="s">
        <v>3112</v>
      </c>
      <c r="E45" s="422" t="s">
        <v>2836</v>
      </c>
      <c r="F45" s="465">
        <v>6</v>
      </c>
      <c r="G45" s="465">
        <v>9</v>
      </c>
      <c r="H45" s="465">
        <v>2012</v>
      </c>
      <c r="I45" s="487" t="s">
        <v>2843</v>
      </c>
      <c r="J45" s="422" t="s">
        <v>2844</v>
      </c>
      <c r="K45" s="422" t="s">
        <v>2845</v>
      </c>
      <c r="L45" s="426">
        <v>66272.08</v>
      </c>
      <c r="M45" s="426" t="s">
        <v>2846</v>
      </c>
      <c r="N45" s="422" t="s">
        <v>2847</v>
      </c>
      <c r="O45" s="489"/>
      <c r="P45" s="489"/>
      <c r="Q45" s="424" t="s">
        <v>2848</v>
      </c>
      <c r="R45" s="424" t="s">
        <v>4974</v>
      </c>
      <c r="S45" s="539">
        <v>41253</v>
      </c>
      <c r="T45" s="490">
        <v>87358.68</v>
      </c>
      <c r="U45" s="466">
        <v>87358.68</v>
      </c>
      <c r="V45" s="1425">
        <v>41578</v>
      </c>
      <c r="W45" s="513"/>
      <c r="X45" s="513"/>
      <c r="Y45" s="491"/>
      <c r="Z45" s="463" t="s">
        <v>5012</v>
      </c>
      <c r="AA45" s="1425">
        <v>41617</v>
      </c>
      <c r="AB45" s="428"/>
      <c r="AC45" s="429"/>
    </row>
    <row r="46" spans="1:29" s="493" customFormat="1" ht="46.5" customHeight="1">
      <c r="A46" s="424">
        <f>A45+1</f>
        <v>11</v>
      </c>
      <c r="B46" s="423" t="s">
        <v>4843</v>
      </c>
      <c r="C46" s="423">
        <v>407.06</v>
      </c>
      <c r="D46" s="423" t="s">
        <v>3112</v>
      </c>
      <c r="E46" s="422" t="s">
        <v>2836</v>
      </c>
      <c r="F46" s="465" t="s">
        <v>2849</v>
      </c>
      <c r="G46" s="465" t="s">
        <v>2849</v>
      </c>
      <c r="H46" s="465" t="s">
        <v>2849</v>
      </c>
      <c r="I46" s="487" t="s">
        <v>2850</v>
      </c>
      <c r="J46" s="422" t="s">
        <v>2851</v>
      </c>
      <c r="K46" s="422" t="s">
        <v>2852</v>
      </c>
      <c r="L46" s="425">
        <v>63092.37</v>
      </c>
      <c r="M46" s="422" t="s">
        <v>2853</v>
      </c>
      <c r="N46" s="488" t="s">
        <v>2854</v>
      </c>
      <c r="O46" s="489"/>
      <c r="P46" s="489"/>
      <c r="Q46" s="424" t="s">
        <v>2855</v>
      </c>
      <c r="R46" s="424" t="s">
        <v>2856</v>
      </c>
      <c r="S46" s="539">
        <v>41866</v>
      </c>
      <c r="T46" s="490">
        <f>24686*1.18</f>
        <v>29129.48</v>
      </c>
      <c r="U46" s="466">
        <v>0</v>
      </c>
      <c r="V46" s="1425"/>
      <c r="W46" s="513"/>
      <c r="X46" s="513"/>
      <c r="Y46" s="491"/>
      <c r="Z46" s="463" t="s">
        <v>5013</v>
      </c>
      <c r="AA46" s="1425">
        <v>41866</v>
      </c>
      <c r="AB46" s="428"/>
      <c r="AC46" s="429">
        <f>(T46+L46)/1.18</f>
        <v>78154.110169491541</v>
      </c>
    </row>
    <row r="47" spans="1:29" s="493" customFormat="1" ht="46.5" customHeight="1">
      <c r="A47" s="424">
        <f>A46+1</f>
        <v>12</v>
      </c>
      <c r="B47" s="423" t="s">
        <v>4843</v>
      </c>
      <c r="C47" s="423">
        <v>389.13</v>
      </c>
      <c r="D47" s="423" t="s">
        <v>3112</v>
      </c>
      <c r="E47" s="422" t="s">
        <v>2836</v>
      </c>
      <c r="F47" s="465" t="s">
        <v>2849</v>
      </c>
      <c r="G47" s="465" t="s">
        <v>2849</v>
      </c>
      <c r="H47" s="465" t="s">
        <v>2849</v>
      </c>
      <c r="I47" s="487" t="s">
        <v>2850</v>
      </c>
      <c r="J47" s="422" t="s">
        <v>2857</v>
      </c>
      <c r="K47" s="422" t="s">
        <v>2858</v>
      </c>
      <c r="L47" s="426">
        <v>63092.37</v>
      </c>
      <c r="M47" s="426" t="s">
        <v>2853</v>
      </c>
      <c r="N47" s="422" t="s">
        <v>3169</v>
      </c>
      <c r="O47" s="489"/>
      <c r="P47" s="489"/>
      <c r="Q47" s="424" t="s">
        <v>2855</v>
      </c>
      <c r="R47" s="424" t="s">
        <v>2856</v>
      </c>
      <c r="S47" s="539">
        <v>41869</v>
      </c>
      <c r="T47" s="490">
        <f>24686*1.18</f>
        <v>29129.48</v>
      </c>
      <c r="U47" s="466">
        <v>0</v>
      </c>
      <c r="V47" s="1425"/>
      <c r="W47" s="513"/>
      <c r="X47" s="513"/>
      <c r="Y47" s="491"/>
      <c r="Z47" s="463" t="s">
        <v>5013</v>
      </c>
      <c r="AA47" s="1425">
        <v>41869</v>
      </c>
      <c r="AB47" s="428"/>
      <c r="AC47" s="429">
        <f>(T47+L47)/1.18</f>
        <v>78154.110169491541</v>
      </c>
    </row>
    <row r="48" spans="1:29" s="493" customFormat="1" ht="46.5" customHeight="1">
      <c r="A48" s="424">
        <f>A47+1</f>
        <v>13</v>
      </c>
      <c r="B48" s="423" t="s">
        <v>4843</v>
      </c>
      <c r="C48" s="423">
        <v>388.935</v>
      </c>
      <c r="D48" s="423" t="s">
        <v>3112</v>
      </c>
      <c r="E48" s="422" t="s">
        <v>3170</v>
      </c>
      <c r="F48" s="465">
        <v>21</v>
      </c>
      <c r="G48" s="465">
        <v>12</v>
      </c>
      <c r="H48" s="465">
        <v>2013</v>
      </c>
      <c r="I48" s="487" t="s">
        <v>2850</v>
      </c>
      <c r="J48" s="422" t="s">
        <v>3171</v>
      </c>
      <c r="K48" s="422" t="s">
        <v>3172</v>
      </c>
      <c r="L48" s="426">
        <v>63092.37</v>
      </c>
      <c r="M48" s="426" t="s">
        <v>2853</v>
      </c>
      <c r="N48" s="422" t="s">
        <v>3173</v>
      </c>
      <c r="O48" s="489"/>
      <c r="P48" s="489"/>
      <c r="Q48" s="424" t="s">
        <v>3174</v>
      </c>
      <c r="R48" s="424" t="s">
        <v>4975</v>
      </c>
      <c r="S48" s="539">
        <v>41836</v>
      </c>
      <c r="T48" s="490">
        <f>24686*1.18</f>
        <v>29129.48</v>
      </c>
      <c r="U48" s="466">
        <v>29129.48</v>
      </c>
      <c r="V48" s="1425">
        <v>41880</v>
      </c>
      <c r="W48" s="513"/>
      <c r="X48" s="513"/>
      <c r="Y48" s="491"/>
      <c r="Z48" s="463" t="s">
        <v>5014</v>
      </c>
      <c r="AA48" s="1425">
        <v>41873</v>
      </c>
      <c r="AB48" s="428"/>
      <c r="AC48" s="429">
        <f>L48/1.18</f>
        <v>53468.110169491527</v>
      </c>
    </row>
    <row r="49" spans="1:30" s="506" customFormat="1" ht="46.5" customHeight="1">
      <c r="A49" s="476">
        <f>A48+1</f>
        <v>14</v>
      </c>
      <c r="B49" s="476" t="s">
        <v>4843</v>
      </c>
      <c r="C49" s="494">
        <v>3203.42</v>
      </c>
      <c r="D49" s="476" t="s">
        <v>3112</v>
      </c>
      <c r="E49" s="477" t="s">
        <v>2836</v>
      </c>
      <c r="F49" s="495">
        <v>1</v>
      </c>
      <c r="G49" s="495">
        <v>6</v>
      </c>
      <c r="H49" s="495">
        <v>2015</v>
      </c>
      <c r="I49" s="495" t="s">
        <v>2850</v>
      </c>
      <c r="J49" s="477" t="s">
        <v>3175</v>
      </c>
      <c r="K49" s="477"/>
      <c r="L49" s="496"/>
      <c r="M49" s="497"/>
      <c r="N49" s="498"/>
      <c r="O49" s="499"/>
      <c r="P49" s="499"/>
      <c r="Q49" s="500"/>
      <c r="R49" s="500"/>
      <c r="S49" s="500"/>
      <c r="T49" s="501"/>
      <c r="U49" s="502"/>
      <c r="V49" s="502"/>
      <c r="W49" s="502"/>
      <c r="X49" s="502"/>
      <c r="Y49" s="500"/>
      <c r="Z49" s="503"/>
      <c r="AA49" s="504"/>
      <c r="AB49" s="505" t="s">
        <v>3176</v>
      </c>
      <c r="AC49" s="483"/>
    </row>
    <row r="50" spans="1:30" s="492" customFormat="1" ht="46.5" customHeight="1">
      <c r="A50" s="518">
        <f>A49+1</f>
        <v>15</v>
      </c>
      <c r="B50" s="1403" t="s">
        <v>257</v>
      </c>
      <c r="C50" s="1403">
        <v>50</v>
      </c>
      <c r="D50" s="1403" t="s">
        <v>3112</v>
      </c>
      <c r="E50" s="515" t="s">
        <v>2836</v>
      </c>
      <c r="F50" s="516">
        <v>15</v>
      </c>
      <c r="G50" s="516">
        <v>8</v>
      </c>
      <c r="H50" s="516">
        <v>2017</v>
      </c>
      <c r="I50" s="1404" t="s">
        <v>256</v>
      </c>
      <c r="J50" s="517"/>
      <c r="K50" s="515"/>
      <c r="L50" s="519"/>
      <c r="M50" s="534"/>
      <c r="N50" s="520"/>
      <c r="O50" s="1400"/>
      <c r="P50" s="1400"/>
      <c r="Q50" s="1401" t="s">
        <v>1960</v>
      </c>
      <c r="R50" s="1401" t="s">
        <v>4976</v>
      </c>
      <c r="S50" s="1422">
        <v>42963</v>
      </c>
      <c r="T50" s="557">
        <v>39945.949999999997</v>
      </c>
      <c r="U50" s="523">
        <v>39945.949999999997</v>
      </c>
      <c r="V50" s="524">
        <v>42972</v>
      </c>
      <c r="W50" s="524"/>
      <c r="X50" s="524"/>
      <c r="Y50" s="1401">
        <v>2017</v>
      </c>
      <c r="Z50" s="1402" t="s">
        <v>5059</v>
      </c>
      <c r="AA50" s="524">
        <v>43067</v>
      </c>
      <c r="AB50" s="526"/>
      <c r="AC50" s="527"/>
      <c r="AD50" s="492">
        <f>NETWORKDAYS("15.08.2017","28.11.2017",0)</f>
        <v>76</v>
      </c>
    </row>
    <row r="51" spans="1:30" s="420" customFormat="1" ht="21" customHeight="1">
      <c r="A51" s="410"/>
      <c r="B51" s="410" t="s">
        <v>3177</v>
      </c>
      <c r="C51" s="412"/>
      <c r="D51" s="413"/>
      <c r="E51" s="410"/>
      <c r="F51" s="410"/>
      <c r="G51" s="410"/>
      <c r="H51" s="410"/>
      <c r="I51" s="414"/>
      <c r="J51" s="412"/>
      <c r="K51" s="415"/>
      <c r="L51" s="416"/>
      <c r="M51" s="415"/>
      <c r="N51" s="417"/>
      <c r="O51" s="418"/>
      <c r="P51" s="418"/>
      <c r="Q51" s="414"/>
      <c r="R51" s="410"/>
      <c r="S51" s="410"/>
      <c r="T51" s="410"/>
      <c r="U51" s="410"/>
      <c r="V51" s="410"/>
      <c r="W51" s="410"/>
      <c r="X51" s="410"/>
      <c r="Y51" s="414"/>
      <c r="Z51" s="414"/>
      <c r="AA51" s="472"/>
      <c r="AB51" s="415"/>
      <c r="AC51" s="419"/>
    </row>
    <row r="52" spans="1:30" s="430" customFormat="1" ht="57.75" customHeight="1">
      <c r="A52" s="424">
        <f>A49+1</f>
        <v>15</v>
      </c>
      <c r="B52" s="422" t="s">
        <v>3178</v>
      </c>
      <c r="C52" s="424">
        <v>600</v>
      </c>
      <c r="D52" s="424" t="s">
        <v>3112</v>
      </c>
      <c r="E52" s="422" t="s">
        <v>3179</v>
      </c>
      <c r="F52" s="422"/>
      <c r="G52" s="422"/>
      <c r="H52" s="422"/>
      <c r="I52" s="422" t="s">
        <v>3180</v>
      </c>
      <c r="J52" s="422" t="s">
        <v>3181</v>
      </c>
      <c r="K52" s="422" t="s">
        <v>3182</v>
      </c>
      <c r="L52" s="425">
        <f>140934.89 +(174023.59)</f>
        <v>314958.48</v>
      </c>
      <c r="M52" s="422" t="s">
        <v>3183</v>
      </c>
      <c r="N52" s="507" t="s">
        <v>3184</v>
      </c>
      <c r="O52" s="424"/>
      <c r="P52" s="424"/>
      <c r="Q52" s="424" t="s">
        <v>2821</v>
      </c>
      <c r="R52" s="422" t="s">
        <v>4977</v>
      </c>
      <c r="S52" s="1425">
        <v>40652</v>
      </c>
      <c r="T52" s="425">
        <f>(144230.35+172271.63)*1.18</f>
        <v>373472.33639999997</v>
      </c>
      <c r="U52" s="425">
        <f>(144230.35+172271.63)*1.18</f>
        <v>373472.33639999997</v>
      </c>
      <c r="V52" s="425"/>
      <c r="W52" s="425"/>
      <c r="X52" s="425"/>
      <c r="Y52" s="427">
        <v>40787</v>
      </c>
      <c r="Z52" s="463" t="s">
        <v>5015</v>
      </c>
      <c r="AA52" s="1425">
        <v>40694</v>
      </c>
      <c r="AB52" s="422"/>
      <c r="AC52" s="429"/>
    </row>
    <row r="53" spans="1:30" s="509" customFormat="1" ht="57">
      <c r="A53" s="477">
        <f t="shared" ref="A53:A58" si="2">A52+1</f>
        <v>16</v>
      </c>
      <c r="B53" s="477" t="s">
        <v>3185</v>
      </c>
      <c r="C53" s="477">
        <v>142.69999999999999</v>
      </c>
      <c r="D53" s="477" t="s">
        <v>3112</v>
      </c>
      <c r="E53" s="477" t="s">
        <v>2836</v>
      </c>
      <c r="F53" s="477">
        <v>26</v>
      </c>
      <c r="G53" s="477">
        <v>10</v>
      </c>
      <c r="H53" s="477">
        <v>2011</v>
      </c>
      <c r="I53" s="477" t="s">
        <v>3186</v>
      </c>
      <c r="J53" s="477" t="s">
        <v>3187</v>
      </c>
      <c r="K53" s="477"/>
      <c r="L53" s="497"/>
      <c r="M53" s="477"/>
      <c r="N53" s="477"/>
      <c r="O53" s="477"/>
      <c r="P53" s="477"/>
      <c r="Q53" s="477"/>
      <c r="R53" s="477"/>
      <c r="S53" s="477"/>
      <c r="T53" s="497"/>
      <c r="U53" s="497"/>
      <c r="V53" s="497"/>
      <c r="W53" s="497"/>
      <c r="X53" s="497"/>
      <c r="Y53" s="508"/>
      <c r="Z53" s="476" t="s">
        <v>2814</v>
      </c>
      <c r="AA53" s="480"/>
      <c r="AB53" s="505"/>
      <c r="AC53" s="483"/>
    </row>
    <row r="54" spans="1:30" s="514" customFormat="1" ht="38.25" customHeight="1">
      <c r="A54" s="422">
        <f t="shared" si="2"/>
        <v>17</v>
      </c>
      <c r="B54" s="465" t="s">
        <v>3188</v>
      </c>
      <c r="C54" s="510">
        <v>110</v>
      </c>
      <c r="D54" s="424" t="s">
        <v>3112</v>
      </c>
      <c r="E54" s="422" t="s">
        <v>2836</v>
      </c>
      <c r="F54" s="465">
        <v>14</v>
      </c>
      <c r="G54" s="465">
        <v>12</v>
      </c>
      <c r="H54" s="465">
        <v>2011</v>
      </c>
      <c r="I54" s="465" t="s">
        <v>3189</v>
      </c>
      <c r="J54" s="422" t="s">
        <v>3190</v>
      </c>
      <c r="K54" s="422" t="s">
        <v>3191</v>
      </c>
      <c r="L54" s="426">
        <v>66272.08</v>
      </c>
      <c r="M54" s="511" t="s">
        <v>3192</v>
      </c>
      <c r="N54" s="422" t="s">
        <v>3193</v>
      </c>
      <c r="O54" s="512"/>
      <c r="P54" s="512"/>
      <c r="Q54" s="513" t="s">
        <v>3194</v>
      </c>
      <c r="R54" s="465" t="s">
        <v>4978</v>
      </c>
      <c r="S54" s="513">
        <v>41123</v>
      </c>
      <c r="T54" s="466">
        <v>109496.66</v>
      </c>
      <c r="U54" s="466">
        <v>109496.66</v>
      </c>
      <c r="V54" s="466"/>
      <c r="W54" s="466"/>
      <c r="X54" s="466"/>
      <c r="Y54" s="513"/>
      <c r="Z54" s="465" t="s">
        <v>3195</v>
      </c>
      <c r="AA54" s="513">
        <v>41148</v>
      </c>
      <c r="AB54" s="428"/>
      <c r="AC54" s="429"/>
    </row>
    <row r="55" spans="1:30" s="514" customFormat="1" ht="39" customHeight="1">
      <c r="A55" s="422">
        <f t="shared" si="2"/>
        <v>18</v>
      </c>
      <c r="B55" s="465" t="s">
        <v>3196</v>
      </c>
      <c r="C55" s="510">
        <v>40</v>
      </c>
      <c r="D55" s="424" t="s">
        <v>3112</v>
      </c>
      <c r="E55" s="465" t="s">
        <v>3197</v>
      </c>
      <c r="F55" s="465">
        <v>12</v>
      </c>
      <c r="G55" s="465">
        <v>12</v>
      </c>
      <c r="H55" s="465">
        <v>2011</v>
      </c>
      <c r="I55" s="465" t="s">
        <v>3198</v>
      </c>
      <c r="J55" s="422" t="s">
        <v>3199</v>
      </c>
      <c r="K55" s="422" t="s">
        <v>3200</v>
      </c>
      <c r="L55" s="426">
        <v>66272.08</v>
      </c>
      <c r="M55" s="511" t="s">
        <v>3192</v>
      </c>
      <c r="N55" s="422" t="s">
        <v>3201</v>
      </c>
      <c r="O55" s="512"/>
      <c r="P55" s="512"/>
      <c r="Q55" s="513" t="s">
        <v>3194</v>
      </c>
      <c r="R55" s="465" t="s">
        <v>4979</v>
      </c>
      <c r="S55" s="513">
        <v>41123</v>
      </c>
      <c r="T55" s="466">
        <v>109496.66</v>
      </c>
      <c r="U55" s="466">
        <v>109496.66</v>
      </c>
      <c r="V55" s="466"/>
      <c r="W55" s="466"/>
      <c r="X55" s="466"/>
      <c r="Y55" s="513"/>
      <c r="Z55" s="465" t="s">
        <v>5016</v>
      </c>
      <c r="AA55" s="513">
        <v>41148</v>
      </c>
      <c r="AB55" s="428"/>
      <c r="AC55" s="429"/>
    </row>
    <row r="56" spans="1:30" s="514" customFormat="1" ht="28.5">
      <c r="A56" s="422">
        <f t="shared" si="2"/>
        <v>19</v>
      </c>
      <c r="B56" s="465" t="s">
        <v>3202</v>
      </c>
      <c r="C56" s="510">
        <v>200</v>
      </c>
      <c r="D56" s="424" t="s">
        <v>3112</v>
      </c>
      <c r="E56" s="422" t="s">
        <v>2836</v>
      </c>
      <c r="F56" s="465">
        <v>10</v>
      </c>
      <c r="G56" s="465">
        <v>2</v>
      </c>
      <c r="H56" s="465">
        <v>2012</v>
      </c>
      <c r="I56" s="465" t="s">
        <v>3203</v>
      </c>
      <c r="J56" s="422" t="s">
        <v>3204</v>
      </c>
      <c r="K56" s="422" t="s">
        <v>3205</v>
      </c>
      <c r="L56" s="511">
        <v>66272.08</v>
      </c>
      <c r="M56" s="422" t="s">
        <v>3206</v>
      </c>
      <c r="N56" s="488" t="s">
        <v>3207</v>
      </c>
      <c r="O56" s="512"/>
      <c r="P56" s="512"/>
      <c r="Q56" s="422" t="s">
        <v>3160</v>
      </c>
      <c r="R56" s="465" t="s">
        <v>4980</v>
      </c>
      <c r="S56" s="513">
        <v>41149</v>
      </c>
      <c r="T56" s="466">
        <v>109496.66</v>
      </c>
      <c r="U56" s="466">
        <v>109496.66</v>
      </c>
      <c r="V56" s="1425">
        <v>41176</v>
      </c>
      <c r="W56" s="513"/>
      <c r="X56" s="513"/>
      <c r="Y56" s="513"/>
      <c r="Z56" s="465" t="s">
        <v>5017</v>
      </c>
      <c r="AA56" s="513">
        <v>41182</v>
      </c>
      <c r="AB56" s="428"/>
      <c r="AC56" s="429"/>
    </row>
    <row r="57" spans="1:30" s="528" customFormat="1" ht="57">
      <c r="A57" s="515">
        <f t="shared" si="2"/>
        <v>20</v>
      </c>
      <c r="B57" s="516" t="s">
        <v>3208</v>
      </c>
      <c r="C57" s="517">
        <v>30</v>
      </c>
      <c r="D57" s="518" t="s">
        <v>3112</v>
      </c>
      <c r="E57" s="515" t="s">
        <v>2836</v>
      </c>
      <c r="F57" s="516">
        <v>6</v>
      </c>
      <c r="G57" s="516">
        <v>9</v>
      </c>
      <c r="H57" s="516">
        <v>2012</v>
      </c>
      <c r="I57" s="516" t="s">
        <v>3615</v>
      </c>
      <c r="J57" s="517" t="s">
        <v>3616</v>
      </c>
      <c r="K57" s="515" t="s">
        <v>3617</v>
      </c>
      <c r="L57" s="519">
        <v>66272.08</v>
      </c>
      <c r="M57" s="515" t="s">
        <v>3618</v>
      </c>
      <c r="N57" s="520" t="s">
        <v>4374</v>
      </c>
      <c r="O57" s="521"/>
      <c r="P57" s="521"/>
      <c r="Q57" s="522" t="s">
        <v>2848</v>
      </c>
      <c r="R57" s="516" t="s">
        <v>4981</v>
      </c>
      <c r="S57" s="524">
        <v>41253</v>
      </c>
      <c r="T57" s="523">
        <v>115413.18</v>
      </c>
      <c r="U57" s="523">
        <v>115413.18</v>
      </c>
      <c r="V57" s="524">
        <v>41269</v>
      </c>
      <c r="W57" s="524"/>
      <c r="X57" s="524"/>
      <c r="Y57" s="524"/>
      <c r="Z57" s="516"/>
      <c r="AA57" s="525"/>
      <c r="AB57" s="526"/>
      <c r="AC57" s="527"/>
    </row>
    <row r="58" spans="1:30" s="528" customFormat="1" ht="39" customHeight="1">
      <c r="A58" s="515">
        <f t="shared" si="2"/>
        <v>21</v>
      </c>
      <c r="B58" s="516" t="s">
        <v>4375</v>
      </c>
      <c r="C58" s="517">
        <v>500</v>
      </c>
      <c r="D58" s="518" t="s">
        <v>3112</v>
      </c>
      <c r="E58" s="515" t="s">
        <v>2836</v>
      </c>
      <c r="F58" s="516">
        <v>1</v>
      </c>
      <c r="G58" s="516">
        <v>10</v>
      </c>
      <c r="H58" s="516">
        <v>2014</v>
      </c>
      <c r="I58" s="516" t="s">
        <v>4376</v>
      </c>
      <c r="J58" s="515" t="s">
        <v>4377</v>
      </c>
      <c r="K58" s="515" t="s">
        <v>4378</v>
      </c>
      <c r="L58" s="519">
        <v>65081.69</v>
      </c>
      <c r="M58" s="515" t="s">
        <v>4379</v>
      </c>
      <c r="N58" s="520" t="s">
        <v>4380</v>
      </c>
      <c r="O58" s="521"/>
      <c r="P58" s="521"/>
      <c r="Q58" s="522" t="s">
        <v>4381</v>
      </c>
      <c r="R58" s="516" t="s">
        <v>4982</v>
      </c>
      <c r="S58" s="524">
        <v>41988</v>
      </c>
      <c r="T58" s="523">
        <f>24686*1.18</f>
        <v>29129.48</v>
      </c>
      <c r="U58" s="523">
        <v>29129.48</v>
      </c>
      <c r="V58" s="524">
        <v>42247</v>
      </c>
      <c r="W58" s="524"/>
      <c r="X58" s="524"/>
      <c r="Y58" s="524"/>
      <c r="Z58" s="516" t="s">
        <v>5018</v>
      </c>
      <c r="AA58" s="524">
        <v>42275</v>
      </c>
      <c r="AB58" s="526"/>
      <c r="AC58" s="527">
        <f>L58/1.18</f>
        <v>55153.97457627119</v>
      </c>
    </row>
    <row r="59" spans="1:30" s="528" customFormat="1" ht="39" customHeight="1">
      <c r="A59" s="515">
        <f t="shared" ref="A59:A64" si="3">A58+1</f>
        <v>22</v>
      </c>
      <c r="B59" s="516" t="s">
        <v>4382</v>
      </c>
      <c r="C59" s="517">
        <v>550</v>
      </c>
      <c r="D59" s="518" t="s">
        <v>3112</v>
      </c>
      <c r="E59" s="515" t="s">
        <v>2836</v>
      </c>
      <c r="F59" s="516">
        <v>18</v>
      </c>
      <c r="G59" s="516">
        <v>6</v>
      </c>
      <c r="H59" s="516">
        <v>2015</v>
      </c>
      <c r="I59" s="516" t="s">
        <v>4383</v>
      </c>
      <c r="J59" s="515" t="s">
        <v>4384</v>
      </c>
      <c r="K59" s="515" t="s">
        <v>4385</v>
      </c>
      <c r="L59" s="519">
        <v>54846.54</v>
      </c>
      <c r="M59" s="515"/>
      <c r="N59" s="520" t="s">
        <v>4386</v>
      </c>
      <c r="O59" s="521"/>
      <c r="P59" s="521"/>
      <c r="Q59" s="522" t="s">
        <v>4387</v>
      </c>
      <c r="R59" s="516" t="s">
        <v>4984</v>
      </c>
      <c r="S59" s="524">
        <v>42305</v>
      </c>
      <c r="T59" s="523">
        <f>2499*1.18</f>
        <v>2948.8199999999997</v>
      </c>
      <c r="U59" s="523">
        <v>2948.82</v>
      </c>
      <c r="V59" s="524">
        <v>42326</v>
      </c>
      <c r="W59" s="524"/>
      <c r="X59" s="524"/>
      <c r="Y59" s="524"/>
      <c r="Z59" s="516"/>
      <c r="AA59" s="525"/>
      <c r="AB59" s="526"/>
      <c r="AC59" s="527">
        <f>L59/1.18</f>
        <v>46480.118644067799</v>
      </c>
    </row>
    <row r="60" spans="1:30" s="528" customFormat="1" ht="39" customHeight="1">
      <c r="A60" s="515">
        <f t="shared" si="3"/>
        <v>23</v>
      </c>
      <c r="B60" s="516" t="s">
        <v>4388</v>
      </c>
      <c r="C60" s="517">
        <v>850</v>
      </c>
      <c r="D60" s="529" t="s">
        <v>3112</v>
      </c>
      <c r="E60" s="516" t="s">
        <v>2836</v>
      </c>
      <c r="F60" s="516">
        <v>11</v>
      </c>
      <c r="G60" s="516">
        <v>1</v>
      </c>
      <c r="H60" s="516">
        <v>2016</v>
      </c>
      <c r="I60" s="516" t="s">
        <v>869</v>
      </c>
      <c r="J60" s="517" t="s">
        <v>4389</v>
      </c>
      <c r="K60" s="515"/>
      <c r="L60" s="519"/>
      <c r="M60" s="515"/>
      <c r="N60" s="520"/>
      <c r="O60" s="521"/>
      <c r="P60" s="521"/>
      <c r="Q60" s="522" t="s">
        <v>4390</v>
      </c>
      <c r="R60" s="516" t="s">
        <v>4985</v>
      </c>
      <c r="S60" s="524">
        <v>42410</v>
      </c>
      <c r="T60" s="523">
        <f>850*123.16*1.18</f>
        <v>123529.48</v>
      </c>
      <c r="U60" s="523">
        <v>123529.48</v>
      </c>
      <c r="V60" s="524">
        <v>42433</v>
      </c>
      <c r="W60" s="524"/>
      <c r="X60" s="524"/>
      <c r="Y60" s="524" t="s">
        <v>4391</v>
      </c>
      <c r="Z60" s="516"/>
      <c r="AA60" s="525"/>
      <c r="AB60" s="526"/>
      <c r="AC60" s="527"/>
    </row>
    <row r="61" spans="1:30" s="528" customFormat="1" ht="39" customHeight="1">
      <c r="A61" s="515">
        <f t="shared" si="3"/>
        <v>24</v>
      </c>
      <c r="B61" s="516" t="s">
        <v>4392</v>
      </c>
      <c r="C61" s="517">
        <v>120</v>
      </c>
      <c r="D61" s="529" t="s">
        <v>3112</v>
      </c>
      <c r="E61" s="516" t="s">
        <v>2836</v>
      </c>
      <c r="F61" s="516">
        <v>14</v>
      </c>
      <c r="G61" s="516">
        <v>1</v>
      </c>
      <c r="H61" s="516">
        <v>2016</v>
      </c>
      <c r="I61" s="516" t="s">
        <v>4393</v>
      </c>
      <c r="J61" s="517" t="s">
        <v>4394</v>
      </c>
      <c r="K61" s="515"/>
      <c r="L61" s="519"/>
      <c r="M61" s="515"/>
      <c r="N61" s="520"/>
      <c r="O61" s="521"/>
      <c r="P61" s="521"/>
      <c r="Q61" s="522" t="s">
        <v>4390</v>
      </c>
      <c r="R61" s="516" t="s">
        <v>4986</v>
      </c>
      <c r="S61" s="524">
        <v>42411</v>
      </c>
      <c r="T61" s="523">
        <f>120*123.16*1.18</f>
        <v>17439.455999999998</v>
      </c>
      <c r="U61" s="523">
        <v>17439.46</v>
      </c>
      <c r="V61" s="524">
        <v>42418</v>
      </c>
      <c r="W61" s="524"/>
      <c r="X61" s="524"/>
      <c r="Y61" s="524"/>
      <c r="Z61" s="516" t="s">
        <v>5019</v>
      </c>
      <c r="AA61" s="524">
        <v>42478</v>
      </c>
      <c r="AB61" s="526"/>
      <c r="AC61" s="527"/>
    </row>
    <row r="62" spans="1:30" s="528" customFormat="1" ht="39" customHeight="1">
      <c r="A62" s="515">
        <f t="shared" si="3"/>
        <v>25</v>
      </c>
      <c r="B62" s="516" t="s">
        <v>4395</v>
      </c>
      <c r="C62" s="1432" t="s">
        <v>5033</v>
      </c>
      <c r="D62" s="529" t="s">
        <v>3112</v>
      </c>
      <c r="E62" s="516" t="s">
        <v>4396</v>
      </c>
      <c r="F62" s="516">
        <v>4</v>
      </c>
      <c r="G62" s="516">
        <v>4</v>
      </c>
      <c r="H62" s="516">
        <v>2016</v>
      </c>
      <c r="I62" s="516" t="s">
        <v>970</v>
      </c>
      <c r="J62" s="517" t="s">
        <v>4397</v>
      </c>
      <c r="K62" s="515" t="s">
        <v>866</v>
      </c>
      <c r="L62" s="519">
        <v>49721.08</v>
      </c>
      <c r="M62" s="515" t="s">
        <v>4398</v>
      </c>
      <c r="N62" s="520" t="s">
        <v>4399</v>
      </c>
      <c r="O62" s="521"/>
      <c r="P62" s="521"/>
      <c r="Q62" s="516" t="s">
        <v>4400</v>
      </c>
      <c r="R62" s="516" t="s">
        <v>4987</v>
      </c>
      <c r="S62" s="524">
        <v>42716</v>
      </c>
      <c r="T62" s="523" t="s">
        <v>5034</v>
      </c>
      <c r="U62" s="523"/>
      <c r="V62" s="524"/>
      <c r="W62" s="524"/>
      <c r="X62" s="524"/>
      <c r="Y62" s="524" t="s">
        <v>4391</v>
      </c>
      <c r="Z62" s="516"/>
      <c r="AA62" s="525"/>
      <c r="AB62" s="526"/>
      <c r="AC62" s="527" t="s">
        <v>4401</v>
      </c>
    </row>
    <row r="63" spans="1:30" s="528" customFormat="1" ht="39" customHeight="1">
      <c r="A63" s="515">
        <f t="shared" si="3"/>
        <v>26</v>
      </c>
      <c r="B63" s="516" t="s">
        <v>4402</v>
      </c>
      <c r="C63" s="517">
        <v>1284.8800000000001</v>
      </c>
      <c r="D63" s="529" t="s">
        <v>3112</v>
      </c>
      <c r="E63" s="515" t="s">
        <v>2836</v>
      </c>
      <c r="F63" s="516">
        <v>20</v>
      </c>
      <c r="G63" s="516">
        <v>6</v>
      </c>
      <c r="H63" s="516">
        <v>2017</v>
      </c>
      <c r="I63" s="516" t="s">
        <v>869</v>
      </c>
      <c r="J63" s="517"/>
      <c r="K63" s="515"/>
      <c r="L63" s="519"/>
      <c r="M63" s="515"/>
      <c r="N63" s="520"/>
      <c r="O63" s="521"/>
      <c r="P63" s="521"/>
      <c r="Q63" s="516" t="s">
        <v>4403</v>
      </c>
      <c r="R63" s="523" t="s">
        <v>4983</v>
      </c>
      <c r="S63" s="524">
        <v>42909</v>
      </c>
      <c r="T63" s="523">
        <f>ROUND(677.05*C63*1.18,2)</f>
        <v>1026515.04</v>
      </c>
      <c r="U63" s="523">
        <v>1026515.04</v>
      </c>
      <c r="V63" s="524">
        <v>42919</v>
      </c>
      <c r="W63" s="524"/>
      <c r="X63" s="524"/>
      <c r="Y63" s="524" t="s">
        <v>4404</v>
      </c>
      <c r="Z63" s="516"/>
      <c r="AA63" s="525"/>
      <c r="AB63" s="526"/>
      <c r="AC63" s="527"/>
    </row>
    <row r="64" spans="1:30" s="528" customFormat="1" ht="39" customHeight="1">
      <c r="A64" s="515">
        <f t="shared" si="3"/>
        <v>27</v>
      </c>
      <c r="B64" s="516" t="s">
        <v>867</v>
      </c>
      <c r="C64" s="517">
        <v>1223</v>
      </c>
      <c r="D64" s="529" t="s">
        <v>3112</v>
      </c>
      <c r="E64" s="515" t="s">
        <v>868</v>
      </c>
      <c r="F64" s="516">
        <v>23</v>
      </c>
      <c r="G64" s="516">
        <v>10</v>
      </c>
      <c r="H64" s="516">
        <v>2017</v>
      </c>
      <c r="I64" s="516" t="s">
        <v>869</v>
      </c>
      <c r="J64" s="517"/>
      <c r="K64" s="515"/>
      <c r="L64" s="519"/>
      <c r="M64" s="515"/>
      <c r="N64" s="520"/>
      <c r="O64" s="521"/>
      <c r="P64" s="521"/>
      <c r="Q64" s="516" t="s">
        <v>4403</v>
      </c>
      <c r="R64" s="523" t="s">
        <v>5045</v>
      </c>
      <c r="S64" s="524">
        <v>43033</v>
      </c>
      <c r="T64" s="523">
        <f>ROUND(677.05*C64*1.18,2)</f>
        <v>977077.94</v>
      </c>
      <c r="U64" s="523">
        <v>977077.94</v>
      </c>
      <c r="V64" s="524">
        <v>43039</v>
      </c>
      <c r="W64" s="524"/>
      <c r="X64" s="524"/>
      <c r="Y64" s="524"/>
      <c r="Z64" s="516"/>
      <c r="AA64" s="525"/>
      <c r="AB64" s="526"/>
      <c r="AC64" s="527"/>
    </row>
    <row r="65" spans="1:30" s="420" customFormat="1" ht="21" customHeight="1">
      <c r="A65" s="410"/>
      <c r="B65" s="421" t="s">
        <v>974</v>
      </c>
      <c r="C65" s="412"/>
      <c r="D65" s="413"/>
      <c r="E65" s="410"/>
      <c r="F65" s="410"/>
      <c r="G65" s="410"/>
      <c r="H65" s="410"/>
      <c r="I65" s="414"/>
      <c r="J65" s="412"/>
      <c r="K65" s="415"/>
      <c r="L65" s="416"/>
      <c r="M65" s="415"/>
      <c r="N65" s="417"/>
      <c r="O65" s="418"/>
      <c r="P65" s="418"/>
      <c r="Q65" s="414"/>
      <c r="R65" s="410"/>
      <c r="S65" s="410"/>
      <c r="T65" s="410"/>
      <c r="U65" s="410"/>
      <c r="V65" s="410"/>
      <c r="W65" s="410"/>
      <c r="X65" s="410"/>
      <c r="Y65" s="414"/>
      <c r="Z65" s="414"/>
      <c r="AA65" s="472"/>
      <c r="AB65" s="415"/>
      <c r="AC65" s="419"/>
    </row>
    <row r="66" spans="1:30" s="420" customFormat="1" ht="21" customHeight="1">
      <c r="A66" s="410"/>
      <c r="B66" s="410" t="s">
        <v>3110</v>
      </c>
      <c r="C66" s="412"/>
      <c r="D66" s="413"/>
      <c r="E66" s="410"/>
      <c r="F66" s="410"/>
      <c r="G66" s="410"/>
      <c r="H66" s="410"/>
      <c r="I66" s="414"/>
      <c r="J66" s="412"/>
      <c r="K66" s="415"/>
      <c r="L66" s="416"/>
      <c r="M66" s="415"/>
      <c r="N66" s="417"/>
      <c r="O66" s="418"/>
      <c r="P66" s="418"/>
      <c r="Q66" s="414"/>
      <c r="R66" s="410"/>
      <c r="S66" s="410"/>
      <c r="T66" s="410"/>
      <c r="U66" s="410"/>
      <c r="V66" s="410"/>
      <c r="W66" s="410"/>
      <c r="X66" s="410"/>
      <c r="Y66" s="414"/>
      <c r="Z66" s="414"/>
      <c r="AA66" s="472"/>
      <c r="AB66" s="415"/>
      <c r="AC66" s="419"/>
    </row>
    <row r="67" spans="1:30" s="430" customFormat="1" ht="46.5" customHeight="1">
      <c r="A67" s="424">
        <f>A64+1</f>
        <v>28</v>
      </c>
      <c r="B67" s="424" t="s">
        <v>3111</v>
      </c>
      <c r="C67" s="423">
        <v>4900</v>
      </c>
      <c r="D67" s="424" t="s">
        <v>4405</v>
      </c>
      <c r="E67" s="422" t="s">
        <v>4406</v>
      </c>
      <c r="F67" s="422">
        <v>4</v>
      </c>
      <c r="G67" s="422">
        <v>8</v>
      </c>
      <c r="H67" s="422">
        <v>2010</v>
      </c>
      <c r="I67" s="485" t="s">
        <v>3111</v>
      </c>
      <c r="J67" s="422" t="s">
        <v>4407</v>
      </c>
      <c r="K67" s="422" t="s">
        <v>4408</v>
      </c>
      <c r="L67" s="425">
        <v>140934.89000000001</v>
      </c>
      <c r="M67" s="428" t="s">
        <v>3183</v>
      </c>
      <c r="N67" s="473" t="s">
        <v>4409</v>
      </c>
      <c r="O67" s="428"/>
      <c r="P67" s="428"/>
      <c r="Q67" s="424" t="s">
        <v>3119</v>
      </c>
      <c r="R67" s="422" t="s">
        <v>4988</v>
      </c>
      <c r="S67" s="1425">
        <v>41117</v>
      </c>
      <c r="T67" s="425">
        <v>177352.05</v>
      </c>
      <c r="U67" s="426">
        <v>177352.05</v>
      </c>
      <c r="V67" s="1425">
        <v>41137</v>
      </c>
      <c r="W67" s="1425"/>
      <c r="X67" s="1425"/>
      <c r="Y67" s="427"/>
      <c r="Z67" s="465" t="s">
        <v>5020</v>
      </c>
      <c r="AA67" s="513">
        <v>41304</v>
      </c>
      <c r="AB67" s="422"/>
      <c r="AC67" s="429"/>
    </row>
    <row r="68" spans="1:30" s="484" customFormat="1" ht="42.75">
      <c r="A68" s="477">
        <f>A67+1</f>
        <v>29</v>
      </c>
      <c r="B68" s="477" t="s">
        <v>3111</v>
      </c>
      <c r="C68" s="531">
        <v>40</v>
      </c>
      <c r="D68" s="477" t="s">
        <v>3112</v>
      </c>
      <c r="E68" s="477" t="s">
        <v>4410</v>
      </c>
      <c r="F68" s="477">
        <v>24</v>
      </c>
      <c r="G68" s="477">
        <v>8</v>
      </c>
      <c r="H68" s="477">
        <v>2010</v>
      </c>
      <c r="I68" s="531" t="s">
        <v>4411</v>
      </c>
      <c r="J68" s="532" t="s">
        <v>4412</v>
      </c>
      <c r="K68" s="532"/>
      <c r="L68" s="532"/>
      <c r="M68" s="532"/>
      <c r="N68" s="532"/>
      <c r="O68" s="532"/>
      <c r="P68" s="532"/>
      <c r="Q68" s="477"/>
      <c r="R68" s="477"/>
      <c r="S68" s="477"/>
      <c r="T68" s="497"/>
      <c r="U68" s="497"/>
      <c r="V68" s="497"/>
      <c r="W68" s="497"/>
      <c r="X68" s="497"/>
      <c r="Y68" s="508"/>
      <c r="Z68" s="476"/>
      <c r="AA68" s="480"/>
      <c r="AB68" s="477" t="s">
        <v>2814</v>
      </c>
      <c r="AC68" s="483"/>
    </row>
    <row r="69" spans="1:30" s="533" customFormat="1" ht="51.75" customHeight="1">
      <c r="A69" s="422">
        <f>A68+1</f>
        <v>30</v>
      </c>
      <c r="B69" s="465" t="s">
        <v>3111</v>
      </c>
      <c r="C69" s="510">
        <v>2553.5</v>
      </c>
      <c r="D69" s="424" t="s">
        <v>3112</v>
      </c>
      <c r="E69" s="422" t="s">
        <v>4413</v>
      </c>
      <c r="F69" s="465">
        <v>28</v>
      </c>
      <c r="G69" s="465">
        <v>5</v>
      </c>
      <c r="H69" s="465">
        <v>2013</v>
      </c>
      <c r="I69" s="465" t="s">
        <v>3114</v>
      </c>
      <c r="J69" s="422" t="s">
        <v>4414</v>
      </c>
      <c r="K69" s="422" t="s">
        <v>4415</v>
      </c>
      <c r="L69" s="511">
        <v>63092.37</v>
      </c>
      <c r="M69" s="425" t="s">
        <v>4416</v>
      </c>
      <c r="N69" s="488" t="s">
        <v>4417</v>
      </c>
      <c r="O69" s="512"/>
      <c r="P69" s="512"/>
      <c r="Q69" s="422" t="s">
        <v>4418</v>
      </c>
      <c r="R69" s="465" t="s">
        <v>4989</v>
      </c>
      <c r="S69" s="513">
        <v>41787</v>
      </c>
      <c r="T69" s="466">
        <f>24686*1.18</f>
        <v>29129.48</v>
      </c>
      <c r="U69" s="466">
        <v>29129.48</v>
      </c>
      <c r="V69" s="1425">
        <v>41939</v>
      </c>
      <c r="W69" s="513"/>
      <c r="X69" s="513"/>
      <c r="Y69" s="513"/>
      <c r="Z69" s="465" t="s">
        <v>5021</v>
      </c>
      <c r="AA69" s="513">
        <v>41920</v>
      </c>
      <c r="AB69" s="428"/>
      <c r="AC69" s="429">
        <f>L69/1.18</f>
        <v>53468.110169491527</v>
      </c>
    </row>
    <row r="70" spans="1:30" s="420" customFormat="1" ht="21" customHeight="1">
      <c r="A70" s="410"/>
      <c r="B70" s="410" t="s">
        <v>4419</v>
      </c>
      <c r="C70" s="412"/>
      <c r="D70" s="413"/>
      <c r="E70" s="410"/>
      <c r="F70" s="410"/>
      <c r="G70" s="410"/>
      <c r="H70" s="410"/>
      <c r="I70" s="414"/>
      <c r="J70" s="412"/>
      <c r="K70" s="415"/>
      <c r="L70" s="416"/>
      <c r="M70" s="415"/>
      <c r="N70" s="417"/>
      <c r="O70" s="418"/>
      <c r="P70" s="418"/>
      <c r="Q70" s="414"/>
      <c r="R70" s="410"/>
      <c r="S70" s="410"/>
      <c r="T70" s="410"/>
      <c r="U70" s="410"/>
      <c r="V70" s="410"/>
      <c r="W70" s="410"/>
      <c r="X70" s="410"/>
      <c r="Y70" s="414"/>
      <c r="Z70" s="414"/>
      <c r="AA70" s="472"/>
      <c r="AB70" s="415"/>
      <c r="AC70" s="419"/>
    </row>
    <row r="71" spans="1:30" s="430" customFormat="1" ht="28.5">
      <c r="A71" s="424">
        <f>A69+1</f>
        <v>31</v>
      </c>
      <c r="B71" s="424" t="s">
        <v>4420</v>
      </c>
      <c r="C71" s="423">
        <v>60</v>
      </c>
      <c r="D71" s="424" t="s">
        <v>3112</v>
      </c>
      <c r="E71" s="422" t="s">
        <v>2836</v>
      </c>
      <c r="F71" s="465">
        <v>8</v>
      </c>
      <c r="G71" s="465">
        <v>4</v>
      </c>
      <c r="H71" s="465">
        <v>2013</v>
      </c>
      <c r="I71" s="465" t="s">
        <v>4421</v>
      </c>
      <c r="J71" s="422" t="s">
        <v>4422</v>
      </c>
      <c r="K71" s="422" t="s">
        <v>4423</v>
      </c>
      <c r="L71" s="425">
        <v>63092.37</v>
      </c>
      <c r="M71" s="425" t="s">
        <v>4424</v>
      </c>
      <c r="N71" s="422" t="s">
        <v>4425</v>
      </c>
      <c r="O71" s="428"/>
      <c r="P71" s="428"/>
      <c r="Q71" s="465" t="s">
        <v>4426</v>
      </c>
      <c r="R71" s="491" t="s">
        <v>4990</v>
      </c>
      <c r="S71" s="539">
        <v>41556</v>
      </c>
      <c r="T71" s="425">
        <f>72901.11*1.18</f>
        <v>86023.309800000003</v>
      </c>
      <c r="U71" s="466">
        <v>86023.31</v>
      </c>
      <c r="V71" s="1425">
        <v>42108</v>
      </c>
      <c r="W71" s="1425"/>
      <c r="X71" s="1425"/>
      <c r="Y71" s="427"/>
      <c r="Z71" s="424" t="s">
        <v>5022</v>
      </c>
      <c r="AA71" s="427">
        <v>42110</v>
      </c>
      <c r="AB71" s="422"/>
      <c r="AC71" s="429"/>
      <c r="AD71" s="1431">
        <f>U81+U63+U50</f>
        <v>1170320.46</v>
      </c>
    </row>
    <row r="72" spans="1:30" s="533" customFormat="1" ht="44.25" customHeight="1">
      <c r="A72" s="422">
        <f>A71+1</f>
        <v>32</v>
      </c>
      <c r="B72" s="465" t="s">
        <v>4420</v>
      </c>
      <c r="C72" s="510">
        <v>150</v>
      </c>
      <c r="D72" s="424" t="s">
        <v>3112</v>
      </c>
      <c r="E72" s="422" t="s">
        <v>2836</v>
      </c>
      <c r="F72" s="465">
        <v>23</v>
      </c>
      <c r="G72" s="465">
        <v>7</v>
      </c>
      <c r="H72" s="465">
        <v>2013</v>
      </c>
      <c r="I72" s="465" t="s">
        <v>4427</v>
      </c>
      <c r="J72" s="422" t="s">
        <v>4428</v>
      </c>
      <c r="K72" s="422" t="s">
        <v>4429</v>
      </c>
      <c r="L72" s="511">
        <f>63092.37</f>
        <v>63092.37</v>
      </c>
      <c r="M72" s="425" t="s">
        <v>2853</v>
      </c>
      <c r="N72" s="488" t="s">
        <v>4430</v>
      </c>
      <c r="O72" s="512"/>
      <c r="P72" s="512"/>
      <c r="Q72" s="422" t="s">
        <v>2855</v>
      </c>
      <c r="R72" s="465" t="s">
        <v>2856</v>
      </c>
      <c r="S72" s="513">
        <v>42109</v>
      </c>
      <c r="T72" s="466">
        <f>24686*1.18</f>
        <v>29129.48</v>
      </c>
      <c r="U72" s="466">
        <v>0</v>
      </c>
      <c r="V72" s="466"/>
      <c r="W72" s="466"/>
      <c r="X72" s="466"/>
      <c r="Y72" s="513"/>
      <c r="Z72" s="465" t="s">
        <v>5023</v>
      </c>
      <c r="AA72" s="513">
        <v>42109</v>
      </c>
      <c r="AB72" s="428"/>
      <c r="AC72" s="429">
        <f>(T72+L72)/1.18</f>
        <v>78154.110169491541</v>
      </c>
      <c r="AD72" s="533">
        <f>AD71/1.18</f>
        <v>991797</v>
      </c>
    </row>
    <row r="73" spans="1:30" s="535" customFormat="1" ht="44.25" customHeight="1">
      <c r="A73" s="515">
        <f>A72+1</f>
        <v>33</v>
      </c>
      <c r="B73" s="516" t="s">
        <v>4420</v>
      </c>
      <c r="C73" s="517">
        <v>35</v>
      </c>
      <c r="D73" s="518" t="s">
        <v>3112</v>
      </c>
      <c r="E73" s="422" t="s">
        <v>2836</v>
      </c>
      <c r="F73" s="465">
        <v>15</v>
      </c>
      <c r="G73" s="465">
        <v>9</v>
      </c>
      <c r="H73" s="465">
        <v>2016</v>
      </c>
      <c r="I73" s="516" t="s">
        <v>4431</v>
      </c>
      <c r="J73" s="515"/>
      <c r="K73" s="515"/>
      <c r="L73" s="519"/>
      <c r="M73" s="534"/>
      <c r="N73" s="520"/>
      <c r="O73" s="521"/>
      <c r="P73" s="521"/>
      <c r="Q73" s="522" t="s">
        <v>4390</v>
      </c>
      <c r="R73" s="516" t="s">
        <v>4991</v>
      </c>
      <c r="S73" s="524">
        <v>42663</v>
      </c>
      <c r="T73" s="523">
        <f>35*123.16*1.18</f>
        <v>5086.5079999999989</v>
      </c>
      <c r="U73" s="523">
        <v>5086.51</v>
      </c>
      <c r="V73" s="524">
        <v>42669</v>
      </c>
      <c r="W73" s="524"/>
      <c r="X73" s="524"/>
      <c r="Y73" s="524"/>
      <c r="Z73" s="516" t="s">
        <v>5024</v>
      </c>
      <c r="AA73" s="524">
        <v>42663</v>
      </c>
      <c r="AB73" s="526"/>
      <c r="AC73" s="527"/>
    </row>
    <row r="74" spans="1:30" s="420" customFormat="1" ht="21" customHeight="1">
      <c r="A74" s="410"/>
      <c r="B74" s="410" t="s">
        <v>3161</v>
      </c>
      <c r="C74" s="412"/>
      <c r="D74" s="413"/>
      <c r="E74" s="410"/>
      <c r="F74" s="410"/>
      <c r="G74" s="410"/>
      <c r="H74" s="410"/>
      <c r="I74" s="414"/>
      <c r="J74" s="412"/>
      <c r="K74" s="415"/>
      <c r="L74" s="416"/>
      <c r="M74" s="415"/>
      <c r="N74" s="417"/>
      <c r="O74" s="418"/>
      <c r="P74" s="418"/>
      <c r="Q74" s="414"/>
      <c r="R74" s="410"/>
      <c r="S74" s="410"/>
      <c r="T74" s="410"/>
      <c r="U74" s="410"/>
      <c r="V74" s="410"/>
      <c r="W74" s="410"/>
      <c r="X74" s="410"/>
      <c r="Y74" s="414"/>
      <c r="Z74" s="414"/>
      <c r="AA74" s="472"/>
      <c r="AB74" s="415"/>
      <c r="AC74" s="419"/>
    </row>
    <row r="75" spans="1:30" s="533" customFormat="1" ht="41.25" customHeight="1">
      <c r="A75" s="422">
        <f>A73+1</f>
        <v>34</v>
      </c>
      <c r="B75" s="465" t="s">
        <v>4843</v>
      </c>
      <c r="C75" s="510">
        <v>497.6</v>
      </c>
      <c r="D75" s="424" t="s">
        <v>3112</v>
      </c>
      <c r="E75" s="422" t="s">
        <v>2836</v>
      </c>
      <c r="F75" s="465" t="s">
        <v>2849</v>
      </c>
      <c r="G75" s="465" t="s">
        <v>2849</v>
      </c>
      <c r="H75" s="465" t="s">
        <v>2849</v>
      </c>
      <c r="I75" s="465" t="s">
        <v>4432</v>
      </c>
      <c r="J75" s="422" t="s">
        <v>4433</v>
      </c>
      <c r="K75" s="422" t="s">
        <v>4434</v>
      </c>
      <c r="L75" s="511">
        <v>63092.37</v>
      </c>
      <c r="M75" s="425" t="s">
        <v>2853</v>
      </c>
      <c r="N75" s="488" t="s">
        <v>4435</v>
      </c>
      <c r="O75" s="512"/>
      <c r="P75" s="512"/>
      <c r="Q75" s="422" t="s">
        <v>2855</v>
      </c>
      <c r="R75" s="465" t="s">
        <v>2856</v>
      </c>
      <c r="S75" s="513">
        <v>41863</v>
      </c>
      <c r="T75" s="466">
        <f>24686*1.18</f>
        <v>29129.48</v>
      </c>
      <c r="U75" s="466">
        <v>0</v>
      </c>
      <c r="V75" s="466"/>
      <c r="W75" s="466"/>
      <c r="X75" s="466"/>
      <c r="Y75" s="513"/>
      <c r="Z75" s="465" t="s">
        <v>5013</v>
      </c>
      <c r="AA75" s="513">
        <v>41863</v>
      </c>
      <c r="AB75" s="428"/>
      <c r="AC75" s="429">
        <f>(T75+L75)/1.18</f>
        <v>78154.110169491541</v>
      </c>
    </row>
    <row r="76" spans="1:30" s="420" customFormat="1" ht="21" customHeight="1">
      <c r="A76" s="410"/>
      <c r="B76" s="410" t="s">
        <v>3177</v>
      </c>
      <c r="C76" s="412"/>
      <c r="D76" s="413"/>
      <c r="E76" s="410"/>
      <c r="F76" s="410"/>
      <c r="G76" s="410"/>
      <c r="H76" s="410"/>
      <c r="I76" s="414"/>
      <c r="J76" s="412"/>
      <c r="K76" s="415"/>
      <c r="L76" s="536"/>
      <c r="M76" s="415"/>
      <c r="N76" s="417"/>
      <c r="O76" s="418"/>
      <c r="P76" s="418"/>
      <c r="Q76" s="414"/>
      <c r="R76" s="410"/>
      <c r="S76" s="410"/>
      <c r="T76" s="410"/>
      <c r="U76" s="410"/>
      <c r="V76" s="410"/>
      <c r="W76" s="410"/>
      <c r="X76" s="410"/>
      <c r="Y76" s="414"/>
      <c r="Z76" s="414"/>
      <c r="AA76" s="472"/>
      <c r="AB76" s="415"/>
      <c r="AC76" s="419"/>
    </row>
    <row r="77" spans="1:30" s="430" customFormat="1">
      <c r="A77" s="424">
        <f>A75+1</f>
        <v>35</v>
      </c>
      <c r="B77" s="424" t="s">
        <v>4436</v>
      </c>
      <c r="C77" s="424">
        <v>100</v>
      </c>
      <c r="D77" s="424" t="s">
        <v>3112</v>
      </c>
      <c r="E77" s="424" t="s">
        <v>2836</v>
      </c>
      <c r="F77" s="424">
        <v>5</v>
      </c>
      <c r="G77" s="424">
        <v>8</v>
      </c>
      <c r="H77" s="424">
        <v>2010</v>
      </c>
      <c r="I77" s="424" t="s">
        <v>4436</v>
      </c>
      <c r="J77" s="424" t="s">
        <v>4437</v>
      </c>
      <c r="K77" s="424" t="s">
        <v>3568</v>
      </c>
      <c r="L77" s="425" t="s">
        <v>3568</v>
      </c>
      <c r="M77" s="424" t="s">
        <v>3568</v>
      </c>
      <c r="N77" s="424"/>
      <c r="O77" s="424"/>
      <c r="P77" s="424"/>
      <c r="Q77" s="424" t="s">
        <v>4438</v>
      </c>
      <c r="R77" s="424" t="s">
        <v>4992</v>
      </c>
      <c r="S77" s="427">
        <v>40459</v>
      </c>
      <c r="T77" s="425">
        <v>16057.44</v>
      </c>
      <c r="U77" s="425">
        <v>16057.44</v>
      </c>
      <c r="V77" s="425"/>
      <c r="W77" s="425"/>
      <c r="X77" s="425"/>
      <c r="Y77" s="427">
        <v>40512</v>
      </c>
      <c r="Z77" s="463" t="s">
        <v>5025</v>
      </c>
      <c r="AA77" s="1425">
        <v>40473</v>
      </c>
      <c r="AB77" s="474"/>
      <c r="AC77" s="475"/>
    </row>
    <row r="78" spans="1:30" s="430" customFormat="1">
      <c r="A78" s="424">
        <f>A77+1</f>
        <v>36</v>
      </c>
      <c r="B78" s="424" t="s">
        <v>4436</v>
      </c>
      <c r="C78" s="424">
        <v>200</v>
      </c>
      <c r="D78" s="424" t="s">
        <v>3112</v>
      </c>
      <c r="E78" s="424" t="s">
        <v>2836</v>
      </c>
      <c r="F78" s="424">
        <v>28</v>
      </c>
      <c r="G78" s="424">
        <v>12</v>
      </c>
      <c r="H78" s="424">
        <v>2010</v>
      </c>
      <c r="I78" s="424" t="s">
        <v>4436</v>
      </c>
      <c r="J78" s="424" t="s">
        <v>4437</v>
      </c>
      <c r="K78" s="424" t="s">
        <v>3568</v>
      </c>
      <c r="L78" s="425" t="s">
        <v>3568</v>
      </c>
      <c r="M78" s="424" t="s">
        <v>3568</v>
      </c>
      <c r="N78" s="424"/>
      <c r="O78" s="424"/>
      <c r="P78" s="424"/>
      <c r="Q78" s="424" t="s">
        <v>2821</v>
      </c>
      <c r="R78" s="424" t="s">
        <v>4994</v>
      </c>
      <c r="S78" s="427">
        <v>40652</v>
      </c>
      <c r="T78" s="425">
        <f>24794*1.18</f>
        <v>29256.92</v>
      </c>
      <c r="U78" s="425">
        <v>29256.92</v>
      </c>
      <c r="V78" s="425"/>
      <c r="W78" s="425"/>
      <c r="X78" s="425"/>
      <c r="Y78" s="427">
        <v>40787</v>
      </c>
      <c r="Z78" s="463" t="s">
        <v>5026</v>
      </c>
      <c r="AA78" s="1425">
        <v>40676</v>
      </c>
      <c r="AB78" s="474"/>
      <c r="AC78" s="475"/>
    </row>
    <row r="79" spans="1:30" s="430" customFormat="1" ht="33" customHeight="1">
      <c r="A79" s="424">
        <f>A78+1</f>
        <v>37</v>
      </c>
      <c r="B79" s="424" t="s">
        <v>4439</v>
      </c>
      <c r="C79" s="424">
        <v>425</v>
      </c>
      <c r="D79" s="424" t="s">
        <v>3112</v>
      </c>
      <c r="E79" s="422" t="s">
        <v>4440</v>
      </c>
      <c r="F79" s="422">
        <v>14</v>
      </c>
      <c r="G79" s="422">
        <v>2</v>
      </c>
      <c r="H79" s="422">
        <v>2011</v>
      </c>
      <c r="I79" s="422" t="s">
        <v>4439</v>
      </c>
      <c r="J79" s="422" t="s">
        <v>4441</v>
      </c>
      <c r="K79" s="422" t="s">
        <v>4442</v>
      </c>
      <c r="L79" s="425">
        <f>140934.89</f>
        <v>140934.89000000001</v>
      </c>
      <c r="M79" s="422" t="s">
        <v>4443</v>
      </c>
      <c r="N79" s="530" t="s">
        <v>4444</v>
      </c>
      <c r="O79" s="428"/>
      <c r="P79" s="428"/>
      <c r="Q79" s="424" t="s">
        <v>2821</v>
      </c>
      <c r="R79" s="424" t="s">
        <v>4995</v>
      </c>
      <c r="S79" s="427">
        <v>40652</v>
      </c>
      <c r="T79" s="425">
        <f>144230.35*1.18</f>
        <v>170191.81299999999</v>
      </c>
      <c r="U79" s="425">
        <f>144230.35*1.18</f>
        <v>170191.81299999999</v>
      </c>
      <c r="V79" s="425"/>
      <c r="W79" s="425"/>
      <c r="X79" s="425"/>
      <c r="Y79" s="427">
        <v>40787</v>
      </c>
      <c r="Z79" s="463" t="s">
        <v>5027</v>
      </c>
      <c r="AA79" s="1425">
        <v>40655</v>
      </c>
      <c r="AB79" s="424"/>
      <c r="AC79" s="475"/>
    </row>
    <row r="80" spans="1:30" s="430" customFormat="1" ht="42.75">
      <c r="A80" s="424">
        <f>A79+1</f>
        <v>38</v>
      </c>
      <c r="B80" s="491" t="s">
        <v>4445</v>
      </c>
      <c r="C80" s="424">
        <v>1644</v>
      </c>
      <c r="D80" s="424" t="s">
        <v>3112</v>
      </c>
      <c r="E80" s="422" t="s">
        <v>2836</v>
      </c>
      <c r="F80" s="465">
        <v>24</v>
      </c>
      <c r="G80" s="465">
        <v>10</v>
      </c>
      <c r="H80" s="465">
        <v>2011</v>
      </c>
      <c r="I80" s="465" t="s">
        <v>4446</v>
      </c>
      <c r="J80" s="422" t="s">
        <v>4447</v>
      </c>
      <c r="K80" s="422" t="s">
        <v>4448</v>
      </c>
      <c r="L80" s="537">
        <v>66272.08</v>
      </c>
      <c r="M80" s="422" t="s">
        <v>4449</v>
      </c>
      <c r="N80" s="488" t="s">
        <v>4450</v>
      </c>
      <c r="O80" s="538"/>
      <c r="P80" s="538"/>
      <c r="Q80" s="491" t="s">
        <v>4451</v>
      </c>
      <c r="R80" s="491" t="s">
        <v>4993</v>
      </c>
      <c r="S80" s="539">
        <v>41128</v>
      </c>
      <c r="T80" s="490">
        <v>124335.16</v>
      </c>
      <c r="U80" s="466">
        <v>124335.16</v>
      </c>
      <c r="V80" s="1425">
        <v>41162</v>
      </c>
      <c r="W80" s="513"/>
      <c r="X80" s="513"/>
      <c r="Y80" s="539"/>
      <c r="Z80" s="465" t="s">
        <v>5028</v>
      </c>
      <c r="AA80" s="513">
        <v>41169</v>
      </c>
      <c r="AB80" s="424"/>
      <c r="AC80" s="475"/>
    </row>
    <row r="81" spans="1:29" s="535" customFormat="1">
      <c r="A81" s="518">
        <f>A80+1</f>
        <v>39</v>
      </c>
      <c r="B81" s="518" t="s">
        <v>818</v>
      </c>
      <c r="C81" s="1419">
        <v>130</v>
      </c>
      <c r="D81" s="529" t="s">
        <v>3112</v>
      </c>
      <c r="E81" s="515" t="s">
        <v>2836</v>
      </c>
      <c r="F81" s="516">
        <v>19</v>
      </c>
      <c r="G81" s="516">
        <v>9</v>
      </c>
      <c r="H81" s="516">
        <v>2017</v>
      </c>
      <c r="I81" s="516" t="s">
        <v>819</v>
      </c>
      <c r="J81" s="517"/>
      <c r="K81" s="515"/>
      <c r="L81" s="1420"/>
      <c r="M81" s="515"/>
      <c r="N81" s="520"/>
      <c r="O81" s="1421"/>
      <c r="P81" s="1421"/>
      <c r="Q81" s="1401" t="s">
        <v>4403</v>
      </c>
      <c r="R81" s="1401" t="s">
        <v>4996</v>
      </c>
      <c r="S81" s="1422">
        <v>42999</v>
      </c>
      <c r="T81" s="557">
        <v>103859.47</v>
      </c>
      <c r="U81" s="523">
        <v>103859.47</v>
      </c>
      <c r="V81" s="524">
        <v>43004</v>
      </c>
      <c r="W81" s="523"/>
      <c r="X81" s="523"/>
      <c r="Y81" s="1422"/>
      <c r="Z81" s="516"/>
      <c r="AA81" s="525"/>
      <c r="AB81" s="518"/>
      <c r="AC81" s="1423"/>
    </row>
    <row r="82" spans="1:29" s="535" customFormat="1">
      <c r="A82" s="518">
        <f>A81+1</f>
        <v>40</v>
      </c>
      <c r="B82" s="518" t="s">
        <v>4436</v>
      </c>
      <c r="C82" s="1419">
        <v>70</v>
      </c>
      <c r="D82" s="529" t="s">
        <v>3112</v>
      </c>
      <c r="E82" s="515" t="s">
        <v>2836</v>
      </c>
      <c r="F82" s="516">
        <v>3</v>
      </c>
      <c r="G82" s="516">
        <v>4</v>
      </c>
      <c r="H82" s="516">
        <v>2018</v>
      </c>
      <c r="I82" s="518" t="s">
        <v>4436</v>
      </c>
      <c r="J82" s="517"/>
      <c r="K82" s="515"/>
      <c r="L82" s="1420"/>
      <c r="M82" s="515"/>
      <c r="N82" s="520"/>
      <c r="O82" s="1421"/>
      <c r="P82" s="1421"/>
      <c r="Q82" s="1401"/>
      <c r="R82" s="1401"/>
      <c r="S82" s="1422"/>
      <c r="T82" s="557"/>
      <c r="U82" s="523"/>
      <c r="V82" s="524"/>
      <c r="W82" s="523"/>
      <c r="X82" s="523"/>
      <c r="Y82" s="1422"/>
      <c r="Z82" s="516"/>
      <c r="AA82" s="525"/>
      <c r="AB82" s="518"/>
      <c r="AC82" s="1423"/>
    </row>
    <row r="83" spans="1:29" s="420" customFormat="1" ht="21" customHeight="1">
      <c r="A83" s="410"/>
      <c r="B83" s="411" t="s">
        <v>3061</v>
      </c>
      <c r="C83" s="412"/>
      <c r="D83" s="413"/>
      <c r="E83" s="410"/>
      <c r="F83" s="410"/>
      <c r="G83" s="410"/>
      <c r="H83" s="410"/>
      <c r="I83" s="414"/>
      <c r="J83" s="412"/>
      <c r="K83" s="415"/>
      <c r="L83" s="416"/>
      <c r="M83" s="415"/>
      <c r="N83" s="417"/>
      <c r="O83" s="418"/>
      <c r="P83" s="418"/>
      <c r="Q83" s="414"/>
      <c r="R83" s="410"/>
      <c r="S83" s="410"/>
      <c r="T83" s="410"/>
      <c r="U83" s="410"/>
      <c r="V83" s="410"/>
      <c r="W83" s="410"/>
      <c r="X83" s="410"/>
      <c r="Y83" s="414"/>
      <c r="Z83" s="414"/>
      <c r="AA83" s="472"/>
      <c r="AB83" s="415"/>
      <c r="AC83" s="419"/>
    </row>
    <row r="84" spans="1:29" s="420" customFormat="1" ht="21" customHeight="1">
      <c r="A84" s="410"/>
      <c r="B84" s="421" t="s">
        <v>4452</v>
      </c>
      <c r="C84" s="412"/>
      <c r="D84" s="413"/>
      <c r="E84" s="410"/>
      <c r="F84" s="410"/>
      <c r="G84" s="410"/>
      <c r="H84" s="410"/>
      <c r="I84" s="414"/>
      <c r="J84" s="412"/>
      <c r="K84" s="415"/>
      <c r="L84" s="536"/>
      <c r="M84" s="415"/>
      <c r="N84" s="417"/>
      <c r="O84" s="418"/>
      <c r="P84" s="418"/>
      <c r="Q84" s="414"/>
      <c r="R84" s="410"/>
      <c r="S84" s="410"/>
      <c r="T84" s="410"/>
      <c r="U84" s="410"/>
      <c r="V84" s="410"/>
      <c r="W84" s="410"/>
      <c r="X84" s="410"/>
      <c r="Y84" s="414"/>
      <c r="Z84" s="414"/>
      <c r="AA84" s="472"/>
      <c r="AB84" s="415"/>
      <c r="AC84" s="419"/>
    </row>
    <row r="85" spans="1:29" s="420" customFormat="1" ht="21" customHeight="1">
      <c r="A85" s="410"/>
      <c r="B85" s="410" t="s">
        <v>3619</v>
      </c>
      <c r="C85" s="412"/>
      <c r="D85" s="413"/>
      <c r="E85" s="410"/>
      <c r="F85" s="410"/>
      <c r="G85" s="410"/>
      <c r="H85" s="410"/>
      <c r="I85" s="414"/>
      <c r="J85" s="412"/>
      <c r="K85" s="415"/>
      <c r="L85" s="536"/>
      <c r="M85" s="415"/>
      <c r="N85" s="417"/>
      <c r="O85" s="418"/>
      <c r="P85" s="418"/>
      <c r="Q85" s="414"/>
      <c r="R85" s="410"/>
      <c r="S85" s="410"/>
      <c r="T85" s="410"/>
      <c r="U85" s="410"/>
      <c r="V85" s="410"/>
      <c r="W85" s="410"/>
      <c r="X85" s="410"/>
      <c r="Y85" s="414"/>
      <c r="Z85" s="414"/>
      <c r="AA85" s="472"/>
      <c r="AB85" s="415"/>
      <c r="AC85" s="419"/>
    </row>
    <row r="86" spans="1:29" s="546" customFormat="1" ht="45" customHeight="1">
      <c r="A86" s="540">
        <f>A82+1</f>
        <v>41</v>
      </c>
      <c r="B86" s="540" t="s">
        <v>3620</v>
      </c>
      <c r="C86" s="518">
        <v>80</v>
      </c>
      <c r="D86" s="540" t="s">
        <v>3112</v>
      </c>
      <c r="E86" s="541" t="s">
        <v>3621</v>
      </c>
      <c r="F86" s="541">
        <v>27</v>
      </c>
      <c r="G86" s="541">
        <v>10</v>
      </c>
      <c r="H86" s="541">
        <v>2008</v>
      </c>
      <c r="I86" s="542" t="s">
        <v>3622</v>
      </c>
      <c r="J86" s="542" t="s">
        <v>4437</v>
      </c>
      <c r="K86" s="543" t="s">
        <v>3623</v>
      </c>
      <c r="L86" s="543" t="s">
        <v>3623</v>
      </c>
      <c r="M86" s="543" t="s">
        <v>3623</v>
      </c>
      <c r="N86" s="543" t="s">
        <v>3623</v>
      </c>
      <c r="O86" s="542" t="s">
        <v>3167</v>
      </c>
      <c r="P86" s="542" t="s">
        <v>3167</v>
      </c>
      <c r="Q86" s="543" t="s">
        <v>3624</v>
      </c>
      <c r="R86" s="543" t="s">
        <v>5000</v>
      </c>
      <c r="S86" s="543" t="s">
        <v>4999</v>
      </c>
      <c r="T86" s="1427">
        <v>473895.12</v>
      </c>
      <c r="U86" s="1427">
        <v>473895.12</v>
      </c>
      <c r="V86" s="543"/>
      <c r="W86" s="543"/>
      <c r="X86" s="543"/>
      <c r="Y86" s="543" t="s">
        <v>3625</v>
      </c>
      <c r="Z86" s="544" t="s">
        <v>5029</v>
      </c>
      <c r="AA86" s="1430">
        <v>40204</v>
      </c>
      <c r="AB86" s="542" t="s">
        <v>3626</v>
      </c>
      <c r="AC86" s="545"/>
    </row>
    <row r="87" spans="1:29" s="546" customFormat="1" ht="45" customHeight="1">
      <c r="A87" s="540">
        <f t="shared" ref="A87:A112" si="4">A86+1</f>
        <v>42</v>
      </c>
      <c r="B87" s="540" t="s">
        <v>3620</v>
      </c>
      <c r="C87" s="518">
        <v>80</v>
      </c>
      <c r="D87" s="540" t="s">
        <v>3112</v>
      </c>
      <c r="E87" s="541" t="s">
        <v>3627</v>
      </c>
      <c r="F87" s="541">
        <v>27</v>
      </c>
      <c r="G87" s="541">
        <v>10</v>
      </c>
      <c r="H87" s="541">
        <v>2008</v>
      </c>
      <c r="I87" s="542" t="s">
        <v>3628</v>
      </c>
      <c r="J87" s="542" t="s">
        <v>4437</v>
      </c>
      <c r="K87" s="543" t="s">
        <v>3623</v>
      </c>
      <c r="L87" s="543" t="s">
        <v>3623</v>
      </c>
      <c r="M87" s="543" t="s">
        <v>3623</v>
      </c>
      <c r="N87" s="543" t="s">
        <v>3623</v>
      </c>
      <c r="O87" s="542" t="s">
        <v>3167</v>
      </c>
      <c r="P87" s="542" t="s">
        <v>3167</v>
      </c>
      <c r="Q87" s="543" t="s">
        <v>3629</v>
      </c>
      <c r="R87" s="543" t="s">
        <v>5001</v>
      </c>
      <c r="S87" s="543" t="s">
        <v>4999</v>
      </c>
      <c r="T87" s="1427">
        <v>473895.12</v>
      </c>
      <c r="U87" s="1427">
        <v>473895.12</v>
      </c>
      <c r="V87" s="543"/>
      <c r="W87" s="543"/>
      <c r="X87" s="543"/>
      <c r="Y87" s="543" t="s">
        <v>3625</v>
      </c>
      <c r="Z87" s="544" t="s">
        <v>5030</v>
      </c>
      <c r="AA87" s="1430">
        <v>40234</v>
      </c>
      <c r="AB87" s="542" t="s">
        <v>3626</v>
      </c>
      <c r="AC87" s="545"/>
    </row>
    <row r="88" spans="1:29" ht="28.5">
      <c r="A88" s="476">
        <f t="shared" si="4"/>
        <v>43</v>
      </c>
      <c r="B88" s="476" t="s">
        <v>3620</v>
      </c>
      <c r="C88" s="476">
        <v>958.36</v>
      </c>
      <c r="D88" s="476" t="s">
        <v>3112</v>
      </c>
      <c r="E88" s="477" t="s">
        <v>3630</v>
      </c>
      <c r="F88" s="477">
        <v>30</v>
      </c>
      <c r="G88" s="477">
        <v>1</v>
      </c>
      <c r="H88" s="477">
        <v>2009</v>
      </c>
      <c r="I88" s="477" t="s">
        <v>3631</v>
      </c>
      <c r="J88" s="477" t="s">
        <v>3632</v>
      </c>
      <c r="K88" s="477" t="s">
        <v>3633</v>
      </c>
      <c r="L88" s="478">
        <v>3168622.31</v>
      </c>
      <c r="M88" s="476"/>
      <c r="N88" s="476"/>
      <c r="O88" s="476"/>
      <c r="P88" s="476"/>
      <c r="Q88" s="476" t="s">
        <v>3031</v>
      </c>
      <c r="R88" s="476" t="s">
        <v>5002</v>
      </c>
      <c r="S88" s="479">
        <v>40243</v>
      </c>
      <c r="T88" s="478">
        <v>8386866</v>
      </c>
      <c r="U88" s="478">
        <v>0</v>
      </c>
      <c r="V88" s="478"/>
      <c r="W88" s="478"/>
      <c r="X88" s="478"/>
      <c r="Y88" s="479">
        <v>40451</v>
      </c>
      <c r="Z88" s="476"/>
      <c r="AA88" s="480"/>
      <c r="AB88" s="476" t="s">
        <v>2814</v>
      </c>
      <c r="AC88" s="482"/>
    </row>
    <row r="89" spans="1:29" s="430" customFormat="1" ht="32.25" customHeight="1">
      <c r="A89" s="424">
        <f>A88+1</f>
        <v>44</v>
      </c>
      <c r="B89" s="424" t="s">
        <v>3620</v>
      </c>
      <c r="C89" s="422">
        <v>105</v>
      </c>
      <c r="D89" s="424" t="s">
        <v>3112</v>
      </c>
      <c r="E89" s="422" t="s">
        <v>3634</v>
      </c>
      <c r="F89" s="422">
        <v>16</v>
      </c>
      <c r="G89" s="422">
        <v>12</v>
      </c>
      <c r="H89" s="422">
        <v>2009</v>
      </c>
      <c r="I89" s="422" t="s">
        <v>3635</v>
      </c>
      <c r="J89" s="422" t="s">
        <v>3636</v>
      </c>
      <c r="K89" s="422" t="s">
        <v>3637</v>
      </c>
      <c r="L89" s="425">
        <v>174023.6</v>
      </c>
      <c r="M89" s="422" t="s">
        <v>3638</v>
      </c>
      <c r="N89" s="422" t="s">
        <v>3639</v>
      </c>
      <c r="O89" s="422"/>
      <c r="P89" s="422"/>
      <c r="Q89" s="424" t="s">
        <v>3640</v>
      </c>
      <c r="R89" s="424" t="s">
        <v>5003</v>
      </c>
      <c r="S89" s="427">
        <v>40407</v>
      </c>
      <c r="T89" s="425">
        <v>227239.73</v>
      </c>
      <c r="U89" s="425">
        <v>227239.73</v>
      </c>
      <c r="V89" s="425"/>
      <c r="W89" s="425"/>
      <c r="X89" s="425"/>
      <c r="Y89" s="427">
        <v>40481</v>
      </c>
      <c r="Z89" s="463" t="s">
        <v>5009</v>
      </c>
      <c r="AA89" s="1425">
        <v>40540</v>
      </c>
      <c r="AB89" s="424"/>
      <c r="AC89" s="475"/>
    </row>
    <row r="90" spans="1:29" ht="71.25" customHeight="1">
      <c r="A90" s="476">
        <f t="shared" si="4"/>
        <v>45</v>
      </c>
      <c r="B90" s="476" t="s">
        <v>3620</v>
      </c>
      <c r="C90" s="476">
        <v>78.099999999999994</v>
      </c>
      <c r="D90" s="476" t="s">
        <v>3112</v>
      </c>
      <c r="E90" s="477" t="s">
        <v>3641</v>
      </c>
      <c r="F90" s="477">
        <v>24</v>
      </c>
      <c r="G90" s="477">
        <v>12</v>
      </c>
      <c r="H90" s="477">
        <v>2009</v>
      </c>
      <c r="I90" s="477" t="s">
        <v>3642</v>
      </c>
      <c r="J90" s="477" t="s">
        <v>3643</v>
      </c>
      <c r="K90" s="476" t="s">
        <v>3644</v>
      </c>
      <c r="L90" s="478">
        <v>174023.6</v>
      </c>
      <c r="M90" s="477" t="s">
        <v>3645</v>
      </c>
      <c r="N90" s="477"/>
      <c r="O90" s="477"/>
      <c r="P90" s="477"/>
      <c r="Q90" s="476" t="s">
        <v>3031</v>
      </c>
      <c r="R90" s="476" t="s">
        <v>3646</v>
      </c>
      <c r="S90" s="476"/>
      <c r="T90" s="478"/>
      <c r="U90" s="478"/>
      <c r="V90" s="478"/>
      <c r="W90" s="478"/>
      <c r="X90" s="478"/>
      <c r="Y90" s="479" t="s">
        <v>3568</v>
      </c>
      <c r="Z90" s="476"/>
      <c r="AA90" s="480"/>
      <c r="AB90" s="476" t="s">
        <v>2814</v>
      </c>
      <c r="AC90" s="482"/>
    </row>
    <row r="91" spans="1:29" s="506" customFormat="1" ht="72">
      <c r="A91" s="476">
        <f t="shared" si="4"/>
        <v>46</v>
      </c>
      <c r="B91" s="476" t="s">
        <v>3620</v>
      </c>
      <c r="C91" s="476">
        <v>8.59</v>
      </c>
      <c r="D91" s="476" t="s">
        <v>3112</v>
      </c>
      <c r="E91" s="477" t="s">
        <v>3647</v>
      </c>
      <c r="F91" s="477">
        <v>16</v>
      </c>
      <c r="G91" s="477">
        <v>12</v>
      </c>
      <c r="H91" s="477">
        <v>2010</v>
      </c>
      <c r="I91" s="547" t="s">
        <v>3648</v>
      </c>
      <c r="J91" s="477" t="s">
        <v>3649</v>
      </c>
      <c r="K91" s="481"/>
      <c r="L91" s="481"/>
      <c r="M91" s="481"/>
      <c r="N91" s="481"/>
      <c r="O91" s="481"/>
      <c r="P91" s="481"/>
      <c r="Q91" s="481"/>
      <c r="R91" s="481"/>
      <c r="S91" s="481"/>
      <c r="T91" s="481"/>
      <c r="U91" s="1428"/>
      <c r="V91" s="481"/>
      <c r="W91" s="481"/>
      <c r="X91" s="481"/>
      <c r="Y91" s="481"/>
      <c r="Z91" s="476"/>
      <c r="AA91" s="480"/>
      <c r="AB91" s="476" t="s">
        <v>2814</v>
      </c>
      <c r="AC91" s="482"/>
    </row>
    <row r="92" spans="1:29" s="430" customFormat="1" ht="30.75" customHeight="1" collapsed="1">
      <c r="A92" s="424">
        <f>A91+1</f>
        <v>47</v>
      </c>
      <c r="B92" s="424" t="s">
        <v>3620</v>
      </c>
      <c r="C92" s="424">
        <v>103.65</v>
      </c>
      <c r="D92" s="424" t="s">
        <v>3112</v>
      </c>
      <c r="E92" s="422" t="s">
        <v>3650</v>
      </c>
      <c r="F92" s="422">
        <v>13</v>
      </c>
      <c r="G92" s="422">
        <v>7</v>
      </c>
      <c r="H92" s="422">
        <v>2011</v>
      </c>
      <c r="I92" s="422" t="s">
        <v>3114</v>
      </c>
      <c r="J92" s="422" t="s">
        <v>3651</v>
      </c>
      <c r="K92" s="422" t="s">
        <v>3652</v>
      </c>
      <c r="L92" s="424">
        <v>63092.38</v>
      </c>
      <c r="M92" s="424">
        <v>63092.38</v>
      </c>
      <c r="N92" s="488" t="s">
        <v>3653</v>
      </c>
      <c r="O92" s="428"/>
      <c r="P92" s="428"/>
      <c r="Q92" s="424" t="s">
        <v>3119</v>
      </c>
      <c r="R92" s="424" t="s">
        <v>5004</v>
      </c>
      <c r="S92" s="427">
        <v>40996</v>
      </c>
      <c r="T92" s="425">
        <v>164597.43</v>
      </c>
      <c r="U92" s="425">
        <v>164597.43</v>
      </c>
      <c r="V92" s="424"/>
      <c r="W92" s="424"/>
      <c r="X92" s="424"/>
      <c r="Y92" s="474"/>
      <c r="Z92" s="463" t="s">
        <v>5031</v>
      </c>
      <c r="AA92" s="1425">
        <v>41143</v>
      </c>
      <c r="AB92" s="428"/>
      <c r="AC92" s="429"/>
    </row>
    <row r="93" spans="1:29" s="552" customFormat="1" ht="57.75" hidden="1" outlineLevel="1">
      <c r="A93" s="548">
        <v>1</v>
      </c>
      <c r="B93" s="549" t="s">
        <v>3620</v>
      </c>
      <c r="C93" s="549">
        <v>5</v>
      </c>
      <c r="D93" s="549" t="s">
        <v>3112</v>
      </c>
      <c r="E93" s="431" t="s">
        <v>3654</v>
      </c>
      <c r="F93" s="431"/>
      <c r="G93" s="431"/>
      <c r="H93" s="431"/>
      <c r="I93" s="550" t="s">
        <v>3655</v>
      </c>
      <c r="J93" s="515" t="s">
        <v>3656</v>
      </c>
      <c r="K93" s="452"/>
      <c r="L93" s="452"/>
      <c r="M93" s="452"/>
      <c r="N93" s="452"/>
      <c r="O93" s="452"/>
      <c r="P93" s="452"/>
      <c r="Q93" s="452"/>
      <c r="R93" s="452"/>
      <c r="S93" s="452"/>
      <c r="T93" s="452"/>
      <c r="U93" s="452"/>
      <c r="V93" s="452"/>
      <c r="W93" s="452"/>
      <c r="X93" s="452"/>
      <c r="Y93" s="452"/>
      <c r="Z93" s="452"/>
      <c r="AA93" s="551"/>
      <c r="AB93" s="452"/>
      <c r="AC93" s="453"/>
    </row>
    <row r="94" spans="1:29" s="444" customFormat="1" ht="30" hidden="1" customHeight="1" outlineLevel="1">
      <c r="A94" s="549">
        <f>A93+1</f>
        <v>2</v>
      </c>
      <c r="B94" s="549" t="s">
        <v>3620</v>
      </c>
      <c r="C94" s="549">
        <v>4.5</v>
      </c>
      <c r="D94" s="549" t="s">
        <v>3112</v>
      </c>
      <c r="E94" s="431" t="s">
        <v>3657</v>
      </c>
      <c r="F94" s="431"/>
      <c r="G94" s="431"/>
      <c r="H94" s="431"/>
      <c r="I94" s="431" t="s">
        <v>3658</v>
      </c>
      <c r="J94" s="515" t="s">
        <v>3656</v>
      </c>
      <c r="K94" s="442"/>
      <c r="L94" s="549"/>
      <c r="M94" s="442"/>
      <c r="N94" s="442"/>
      <c r="O94" s="442"/>
      <c r="P94" s="442"/>
      <c r="Q94" s="553"/>
      <c r="R94" s="553"/>
      <c r="S94" s="553"/>
      <c r="T94" s="553"/>
      <c r="U94" s="553"/>
      <c r="V94" s="553"/>
      <c r="W94" s="553"/>
      <c r="X94" s="553"/>
      <c r="Y94" s="553"/>
      <c r="Z94" s="549"/>
      <c r="AA94" s="554"/>
      <c r="AB94" s="549"/>
      <c r="AC94" s="555"/>
    </row>
    <row r="95" spans="1:29" s="552" customFormat="1" ht="30" hidden="1" customHeight="1" outlineLevel="1">
      <c r="A95" s="549">
        <f t="shared" si="4"/>
        <v>3</v>
      </c>
      <c r="B95" s="549" t="s">
        <v>3620</v>
      </c>
      <c r="C95" s="549">
        <v>5</v>
      </c>
      <c r="D95" s="549" t="s">
        <v>3112</v>
      </c>
      <c r="E95" s="431" t="s">
        <v>3657</v>
      </c>
      <c r="F95" s="431"/>
      <c r="G95" s="431"/>
      <c r="H95" s="431"/>
      <c r="I95" s="431" t="s">
        <v>3659</v>
      </c>
      <c r="J95" s="515" t="s">
        <v>3656</v>
      </c>
      <c r="K95" s="442"/>
      <c r="L95" s="549"/>
      <c r="M95" s="442"/>
      <c r="N95" s="442"/>
      <c r="O95" s="442"/>
      <c r="P95" s="442"/>
      <c r="Q95" s="553"/>
      <c r="R95" s="553"/>
      <c r="S95" s="553"/>
      <c r="T95" s="553"/>
      <c r="U95" s="553"/>
      <c r="V95" s="553"/>
      <c r="W95" s="553"/>
      <c r="X95" s="553"/>
      <c r="Y95" s="553"/>
      <c r="Z95" s="549"/>
      <c r="AA95" s="554"/>
      <c r="AB95" s="549"/>
      <c r="AC95" s="555"/>
    </row>
    <row r="96" spans="1:29" s="552" customFormat="1" ht="30" hidden="1" customHeight="1" outlineLevel="1">
      <c r="A96" s="549">
        <f t="shared" si="4"/>
        <v>4</v>
      </c>
      <c r="B96" s="549" t="s">
        <v>3620</v>
      </c>
      <c r="C96" s="549">
        <v>0.6</v>
      </c>
      <c r="D96" s="549" t="s">
        <v>3112</v>
      </c>
      <c r="E96" s="431" t="s">
        <v>3660</v>
      </c>
      <c r="F96" s="431"/>
      <c r="G96" s="431"/>
      <c r="H96" s="431"/>
      <c r="I96" s="431" t="s">
        <v>3661</v>
      </c>
      <c r="J96" s="515" t="s">
        <v>3656</v>
      </c>
      <c r="K96" s="442"/>
      <c r="L96" s="549"/>
      <c r="M96" s="442"/>
      <c r="N96" s="442"/>
      <c r="O96" s="431" t="s">
        <v>4437</v>
      </c>
      <c r="P96" s="431" t="s">
        <v>4437</v>
      </c>
      <c r="Q96" s="553"/>
      <c r="R96" s="553"/>
      <c r="S96" s="553"/>
      <c r="T96" s="553"/>
      <c r="U96" s="553"/>
      <c r="V96" s="553"/>
      <c r="W96" s="553"/>
      <c r="X96" s="553"/>
      <c r="Y96" s="553"/>
      <c r="Z96" s="549" t="s">
        <v>3126</v>
      </c>
      <c r="AA96" s="554"/>
      <c r="AB96" s="549"/>
      <c r="AC96" s="555"/>
    </row>
    <row r="97" spans="1:29" s="552" customFormat="1" ht="30" hidden="1" customHeight="1" outlineLevel="1">
      <c r="A97" s="549">
        <f t="shared" si="4"/>
        <v>5</v>
      </c>
      <c r="B97" s="549" t="s">
        <v>3620</v>
      </c>
      <c r="C97" s="549">
        <v>3.54</v>
      </c>
      <c r="D97" s="549" t="s">
        <v>3112</v>
      </c>
      <c r="E97" s="431" t="s">
        <v>3660</v>
      </c>
      <c r="F97" s="431"/>
      <c r="G97" s="431"/>
      <c r="H97" s="431"/>
      <c r="I97" s="431" t="s">
        <v>3662</v>
      </c>
      <c r="J97" s="515" t="s">
        <v>3656</v>
      </c>
      <c r="K97" s="442"/>
      <c r="L97" s="549"/>
      <c r="M97" s="442"/>
      <c r="N97" s="442"/>
      <c r="O97" s="431" t="s">
        <v>4437</v>
      </c>
      <c r="P97" s="431" t="s">
        <v>4437</v>
      </c>
      <c r="Q97" s="553"/>
      <c r="R97" s="553"/>
      <c r="S97" s="553"/>
      <c r="T97" s="553"/>
      <c r="U97" s="553"/>
      <c r="V97" s="553"/>
      <c r="W97" s="553"/>
      <c r="X97" s="553"/>
      <c r="Y97" s="553"/>
      <c r="Z97" s="549" t="s">
        <v>3126</v>
      </c>
      <c r="AA97" s="554"/>
      <c r="AB97" s="549"/>
      <c r="AC97" s="555"/>
    </row>
    <row r="98" spans="1:29" s="552" customFormat="1" ht="30" hidden="1" customHeight="1" outlineLevel="1">
      <c r="A98" s="549">
        <f t="shared" si="4"/>
        <v>6</v>
      </c>
      <c r="B98" s="549" t="s">
        <v>3620</v>
      </c>
      <c r="C98" s="549">
        <v>0.6</v>
      </c>
      <c r="D98" s="549" t="s">
        <v>3112</v>
      </c>
      <c r="E98" s="431" t="s">
        <v>3660</v>
      </c>
      <c r="F98" s="431"/>
      <c r="G98" s="431"/>
      <c r="H98" s="431"/>
      <c r="I98" s="431" t="s">
        <v>3661</v>
      </c>
      <c r="J98" s="515" t="s">
        <v>3656</v>
      </c>
      <c r="K98" s="442"/>
      <c r="L98" s="549"/>
      <c r="M98" s="442"/>
      <c r="N98" s="442"/>
      <c r="O98" s="431" t="s">
        <v>4437</v>
      </c>
      <c r="P98" s="431" t="s">
        <v>4437</v>
      </c>
      <c r="Q98" s="553"/>
      <c r="R98" s="553"/>
      <c r="S98" s="553"/>
      <c r="T98" s="553"/>
      <c r="U98" s="553"/>
      <c r="V98" s="553"/>
      <c r="W98" s="553"/>
      <c r="X98" s="553"/>
      <c r="Y98" s="553"/>
      <c r="Z98" s="549" t="s">
        <v>3126</v>
      </c>
      <c r="AA98" s="554"/>
      <c r="AB98" s="549"/>
      <c r="AC98" s="555"/>
    </row>
    <row r="99" spans="1:29" s="444" customFormat="1" ht="72" hidden="1" outlineLevel="1">
      <c r="A99" s="548">
        <f t="shared" si="4"/>
        <v>7</v>
      </c>
      <c r="B99" s="549" t="s">
        <v>3620</v>
      </c>
      <c r="C99" s="549">
        <v>15</v>
      </c>
      <c r="D99" s="549" t="s">
        <v>3112</v>
      </c>
      <c r="E99" s="431" t="s">
        <v>3660</v>
      </c>
      <c r="F99" s="431"/>
      <c r="G99" s="431"/>
      <c r="H99" s="431"/>
      <c r="I99" s="556" t="s">
        <v>3663</v>
      </c>
      <c r="J99" s="515" t="s">
        <v>3656</v>
      </c>
      <c r="K99" s="553"/>
      <c r="L99" s="553"/>
      <c r="M99" s="553"/>
      <c r="N99" s="553"/>
      <c r="O99" s="553" t="s">
        <v>4437</v>
      </c>
      <c r="P99" s="553" t="s">
        <v>4437</v>
      </c>
      <c r="Q99" s="553"/>
      <c r="R99" s="553"/>
      <c r="S99" s="553"/>
      <c r="T99" s="553"/>
      <c r="U99" s="553"/>
      <c r="V99" s="553"/>
      <c r="W99" s="553"/>
      <c r="X99" s="553"/>
      <c r="Y99" s="553"/>
      <c r="Z99" s="549" t="s">
        <v>3126</v>
      </c>
      <c r="AA99" s="554"/>
      <c r="AB99" s="553"/>
      <c r="AC99" s="555"/>
    </row>
    <row r="100" spans="1:29" s="552" customFormat="1" ht="30" hidden="1" customHeight="1" outlineLevel="1">
      <c r="A100" s="549">
        <f t="shared" si="4"/>
        <v>8</v>
      </c>
      <c r="B100" s="549" t="s">
        <v>3620</v>
      </c>
      <c r="C100" s="549">
        <v>3.06</v>
      </c>
      <c r="D100" s="549" t="s">
        <v>3112</v>
      </c>
      <c r="E100" s="431" t="s">
        <v>3660</v>
      </c>
      <c r="F100" s="431"/>
      <c r="G100" s="431"/>
      <c r="H100" s="431"/>
      <c r="I100" s="431" t="s">
        <v>3664</v>
      </c>
      <c r="J100" s="515" t="s">
        <v>3656</v>
      </c>
      <c r="K100" s="442"/>
      <c r="L100" s="549"/>
      <c r="M100" s="442"/>
      <c r="N100" s="442"/>
      <c r="O100" s="431" t="s">
        <v>4437</v>
      </c>
      <c r="P100" s="431" t="s">
        <v>4437</v>
      </c>
      <c r="Q100" s="553"/>
      <c r="R100" s="553"/>
      <c r="S100" s="553"/>
      <c r="T100" s="553"/>
      <c r="U100" s="553"/>
      <c r="V100" s="553"/>
      <c r="W100" s="553"/>
      <c r="X100" s="553"/>
      <c r="Y100" s="553"/>
      <c r="Z100" s="549" t="s">
        <v>3126</v>
      </c>
      <c r="AA100" s="554"/>
      <c r="AB100" s="549"/>
      <c r="AC100" s="555"/>
    </row>
    <row r="101" spans="1:29" s="552" customFormat="1" ht="30" hidden="1" customHeight="1" outlineLevel="1">
      <c r="A101" s="549">
        <f t="shared" si="4"/>
        <v>9</v>
      </c>
      <c r="B101" s="549" t="s">
        <v>3620</v>
      </c>
      <c r="C101" s="549">
        <v>3</v>
      </c>
      <c r="D101" s="549" t="s">
        <v>3112</v>
      </c>
      <c r="E101" s="431" t="s">
        <v>3660</v>
      </c>
      <c r="F101" s="431"/>
      <c r="G101" s="431"/>
      <c r="H101" s="431"/>
      <c r="I101" s="431" t="s">
        <v>3665</v>
      </c>
      <c r="J101" s="515" t="s">
        <v>3656</v>
      </c>
      <c r="K101" s="442"/>
      <c r="L101" s="549"/>
      <c r="M101" s="442"/>
      <c r="N101" s="442"/>
      <c r="O101" s="431" t="s">
        <v>4437</v>
      </c>
      <c r="P101" s="431" t="s">
        <v>4437</v>
      </c>
      <c r="Q101" s="553"/>
      <c r="R101" s="553"/>
      <c r="S101" s="553"/>
      <c r="T101" s="553"/>
      <c r="U101" s="553"/>
      <c r="V101" s="553"/>
      <c r="W101" s="553"/>
      <c r="X101" s="553"/>
      <c r="Y101" s="553"/>
      <c r="Z101" s="549" t="s">
        <v>3126</v>
      </c>
      <c r="AA101" s="554"/>
      <c r="AB101" s="549"/>
      <c r="AC101" s="555"/>
    </row>
    <row r="102" spans="1:29" s="552" customFormat="1" ht="57.75" hidden="1" outlineLevel="1">
      <c r="A102" s="549">
        <f t="shared" si="4"/>
        <v>10</v>
      </c>
      <c r="B102" s="549" t="s">
        <v>3620</v>
      </c>
      <c r="C102" s="549">
        <v>10.5</v>
      </c>
      <c r="D102" s="549" t="s">
        <v>3112</v>
      </c>
      <c r="E102" s="431" t="s">
        <v>3660</v>
      </c>
      <c r="F102" s="431"/>
      <c r="G102" s="431"/>
      <c r="H102" s="431"/>
      <c r="I102" s="550" t="s">
        <v>3666</v>
      </c>
      <c r="J102" s="515" t="s">
        <v>3656</v>
      </c>
      <c r="K102" s="452"/>
      <c r="L102" s="452"/>
      <c r="M102" s="452"/>
      <c r="N102" s="452"/>
      <c r="O102" s="447" t="s">
        <v>4437</v>
      </c>
      <c r="P102" s="447" t="s">
        <v>4437</v>
      </c>
      <c r="Q102" s="452"/>
      <c r="R102" s="452"/>
      <c r="S102" s="452"/>
      <c r="T102" s="452"/>
      <c r="U102" s="452"/>
      <c r="V102" s="452"/>
      <c r="W102" s="452"/>
      <c r="X102" s="452"/>
      <c r="Y102" s="452"/>
      <c r="Z102" s="452"/>
      <c r="AA102" s="551"/>
      <c r="AB102" s="452"/>
      <c r="AC102" s="453"/>
    </row>
    <row r="103" spans="1:29" s="552" customFormat="1" ht="57.75" hidden="1" outlineLevel="1">
      <c r="A103" s="549">
        <f t="shared" si="4"/>
        <v>11</v>
      </c>
      <c r="B103" s="549" t="s">
        <v>3620</v>
      </c>
      <c r="C103" s="549">
        <v>4.5</v>
      </c>
      <c r="D103" s="549" t="s">
        <v>3112</v>
      </c>
      <c r="E103" s="431" t="s">
        <v>3660</v>
      </c>
      <c r="F103" s="431"/>
      <c r="G103" s="431"/>
      <c r="H103" s="431"/>
      <c r="I103" s="550" t="s">
        <v>3667</v>
      </c>
      <c r="J103" s="515" t="s">
        <v>3656</v>
      </c>
      <c r="K103" s="452"/>
      <c r="L103" s="452"/>
      <c r="M103" s="452"/>
      <c r="N103" s="452"/>
      <c r="O103" s="447" t="s">
        <v>4437</v>
      </c>
      <c r="P103" s="447" t="s">
        <v>4437</v>
      </c>
      <c r="Q103" s="452"/>
      <c r="R103" s="452"/>
      <c r="S103" s="452"/>
      <c r="T103" s="452"/>
      <c r="U103" s="452"/>
      <c r="V103" s="452"/>
      <c r="W103" s="452"/>
      <c r="X103" s="452"/>
      <c r="Y103" s="452"/>
      <c r="Z103" s="452"/>
      <c r="AA103" s="551"/>
      <c r="AB103" s="452"/>
      <c r="AC103" s="453"/>
    </row>
    <row r="104" spans="1:29" s="552" customFormat="1" ht="57.75" hidden="1" outlineLevel="1">
      <c r="A104" s="549">
        <f t="shared" si="4"/>
        <v>12</v>
      </c>
      <c r="B104" s="549" t="s">
        <v>3620</v>
      </c>
      <c r="C104" s="549">
        <v>5</v>
      </c>
      <c r="D104" s="549" t="s">
        <v>3112</v>
      </c>
      <c r="E104" s="431" t="s">
        <v>3660</v>
      </c>
      <c r="F104" s="431"/>
      <c r="G104" s="431"/>
      <c r="H104" s="431"/>
      <c r="I104" s="550" t="s">
        <v>3668</v>
      </c>
      <c r="J104" s="515" t="s">
        <v>3656</v>
      </c>
      <c r="K104" s="452"/>
      <c r="L104" s="452"/>
      <c r="M104" s="452"/>
      <c r="N104" s="452"/>
      <c r="O104" s="447" t="s">
        <v>4437</v>
      </c>
      <c r="P104" s="447" t="s">
        <v>4437</v>
      </c>
      <c r="Q104" s="452"/>
      <c r="R104" s="452"/>
      <c r="S104" s="452"/>
      <c r="T104" s="452"/>
      <c r="U104" s="452"/>
      <c r="V104" s="452"/>
      <c r="W104" s="452"/>
      <c r="X104" s="452"/>
      <c r="Y104" s="452"/>
      <c r="Z104" s="452"/>
      <c r="AA104" s="551"/>
      <c r="AB104" s="452"/>
      <c r="AC104" s="453"/>
    </row>
    <row r="105" spans="1:29" s="552" customFormat="1" ht="72" hidden="1" outlineLevel="1">
      <c r="A105" s="549">
        <f t="shared" si="4"/>
        <v>13</v>
      </c>
      <c r="B105" s="549" t="s">
        <v>3620</v>
      </c>
      <c r="C105" s="549">
        <v>1.93</v>
      </c>
      <c r="D105" s="549" t="s">
        <v>3112</v>
      </c>
      <c r="E105" s="431" t="s">
        <v>3660</v>
      </c>
      <c r="F105" s="431"/>
      <c r="G105" s="431"/>
      <c r="H105" s="431"/>
      <c r="I105" s="550" t="s">
        <v>3669</v>
      </c>
      <c r="J105" s="515" t="s">
        <v>3656</v>
      </c>
      <c r="K105" s="452"/>
      <c r="L105" s="452"/>
      <c r="M105" s="452"/>
      <c r="N105" s="452"/>
      <c r="O105" s="447" t="s">
        <v>4437</v>
      </c>
      <c r="P105" s="447" t="s">
        <v>4437</v>
      </c>
      <c r="Q105" s="452"/>
      <c r="R105" s="452"/>
      <c r="S105" s="452"/>
      <c r="T105" s="452"/>
      <c r="U105" s="452"/>
      <c r="V105" s="452"/>
      <c r="W105" s="452"/>
      <c r="X105" s="452"/>
      <c r="Y105" s="452"/>
      <c r="Z105" s="452"/>
      <c r="AA105" s="551"/>
      <c r="AB105" s="452"/>
      <c r="AC105" s="453"/>
    </row>
    <row r="106" spans="1:29" s="552" customFormat="1" ht="72" hidden="1" outlineLevel="1">
      <c r="A106" s="549">
        <f t="shared" si="4"/>
        <v>14</v>
      </c>
      <c r="B106" s="549" t="s">
        <v>3620</v>
      </c>
      <c r="C106" s="549">
        <v>3.4</v>
      </c>
      <c r="D106" s="549" t="s">
        <v>3112</v>
      </c>
      <c r="E106" s="431" t="s">
        <v>3660</v>
      </c>
      <c r="F106" s="431"/>
      <c r="G106" s="431"/>
      <c r="H106" s="431"/>
      <c r="I106" s="550" t="s">
        <v>3670</v>
      </c>
      <c r="J106" s="515" t="s">
        <v>3656</v>
      </c>
      <c r="K106" s="452"/>
      <c r="L106" s="452"/>
      <c r="M106" s="452"/>
      <c r="N106" s="452"/>
      <c r="O106" s="452"/>
      <c r="P106" s="452"/>
      <c r="Q106" s="452"/>
      <c r="R106" s="452"/>
      <c r="S106" s="452"/>
      <c r="T106" s="452"/>
      <c r="U106" s="452"/>
      <c r="V106" s="452"/>
      <c r="W106" s="452"/>
      <c r="X106" s="452"/>
      <c r="Y106" s="452"/>
      <c r="Z106" s="452"/>
      <c r="AA106" s="551"/>
      <c r="AB106" s="452"/>
      <c r="AC106" s="453"/>
    </row>
    <row r="107" spans="1:29" s="552" customFormat="1" ht="43.5" hidden="1" outlineLevel="1">
      <c r="A107" s="548">
        <f t="shared" si="4"/>
        <v>15</v>
      </c>
      <c r="B107" s="549" t="s">
        <v>3620</v>
      </c>
      <c r="C107" s="549">
        <v>1.5</v>
      </c>
      <c r="D107" s="549" t="s">
        <v>3112</v>
      </c>
      <c r="E107" s="431" t="s">
        <v>3660</v>
      </c>
      <c r="F107" s="431"/>
      <c r="G107" s="431"/>
      <c r="H107" s="431"/>
      <c r="I107" s="550" t="s">
        <v>3671</v>
      </c>
      <c r="J107" s="515" t="s">
        <v>3656</v>
      </c>
      <c r="K107" s="452"/>
      <c r="L107" s="452"/>
      <c r="M107" s="452"/>
      <c r="N107" s="452"/>
      <c r="O107" s="452"/>
      <c r="P107" s="452"/>
      <c r="Q107" s="452"/>
      <c r="R107" s="452"/>
      <c r="S107" s="452"/>
      <c r="T107" s="452"/>
      <c r="U107" s="452"/>
      <c r="V107" s="452"/>
      <c r="W107" s="452"/>
      <c r="X107" s="452"/>
      <c r="Y107" s="452"/>
      <c r="Z107" s="452"/>
      <c r="AA107" s="551"/>
      <c r="AB107" s="452"/>
      <c r="AC107" s="453"/>
    </row>
    <row r="108" spans="1:29" s="552" customFormat="1" ht="57.75" hidden="1" outlineLevel="1">
      <c r="A108" s="548">
        <f t="shared" si="4"/>
        <v>16</v>
      </c>
      <c r="B108" s="549" t="s">
        <v>3620</v>
      </c>
      <c r="C108" s="549">
        <v>4.0999999999999996</v>
      </c>
      <c r="D108" s="549" t="s">
        <v>3112</v>
      </c>
      <c r="E108" s="431" t="s">
        <v>3660</v>
      </c>
      <c r="F108" s="431"/>
      <c r="G108" s="431"/>
      <c r="H108" s="431"/>
      <c r="I108" s="550" t="s">
        <v>3672</v>
      </c>
      <c r="J108" s="515" t="s">
        <v>3656</v>
      </c>
      <c r="K108" s="452"/>
      <c r="L108" s="452"/>
      <c r="M108" s="452"/>
      <c r="N108" s="452"/>
      <c r="O108" s="452"/>
      <c r="P108" s="452"/>
      <c r="Q108" s="452"/>
      <c r="R108" s="452"/>
      <c r="S108" s="452"/>
      <c r="T108" s="452"/>
      <c r="U108" s="452"/>
      <c r="V108" s="452"/>
      <c r="W108" s="452"/>
      <c r="X108" s="452"/>
      <c r="Y108" s="452"/>
      <c r="Z108" s="452"/>
      <c r="AA108" s="551"/>
      <c r="AB108" s="452"/>
      <c r="AC108" s="453"/>
    </row>
    <row r="109" spans="1:29" s="552" customFormat="1" ht="72" hidden="1" outlineLevel="1">
      <c r="A109" s="548">
        <f t="shared" si="4"/>
        <v>17</v>
      </c>
      <c r="B109" s="549" t="s">
        <v>3620</v>
      </c>
      <c r="C109" s="549">
        <v>4.6399999999999997</v>
      </c>
      <c r="D109" s="549" t="s">
        <v>3112</v>
      </c>
      <c r="E109" s="431" t="s">
        <v>3660</v>
      </c>
      <c r="F109" s="431"/>
      <c r="G109" s="431"/>
      <c r="H109" s="431"/>
      <c r="I109" s="550" t="s">
        <v>3673</v>
      </c>
      <c r="J109" s="515" t="s">
        <v>3656</v>
      </c>
      <c r="K109" s="452"/>
      <c r="L109" s="452"/>
      <c r="M109" s="452"/>
      <c r="N109" s="452"/>
      <c r="O109" s="452"/>
      <c r="P109" s="452"/>
      <c r="Q109" s="452"/>
      <c r="R109" s="452"/>
      <c r="S109" s="452"/>
      <c r="T109" s="452"/>
      <c r="U109" s="452"/>
      <c r="V109" s="452"/>
      <c r="W109" s="452"/>
      <c r="X109" s="452"/>
      <c r="Y109" s="452"/>
      <c r="Z109" s="452"/>
      <c r="AA109" s="551"/>
      <c r="AB109" s="452"/>
      <c r="AC109" s="453"/>
    </row>
    <row r="110" spans="1:29" s="552" customFormat="1" ht="72" hidden="1" outlineLevel="1">
      <c r="A110" s="548">
        <f t="shared" si="4"/>
        <v>18</v>
      </c>
      <c r="B110" s="549" t="s">
        <v>3620</v>
      </c>
      <c r="C110" s="549">
        <v>8.18</v>
      </c>
      <c r="D110" s="549" t="s">
        <v>3112</v>
      </c>
      <c r="E110" s="431" t="s">
        <v>3660</v>
      </c>
      <c r="F110" s="431"/>
      <c r="G110" s="431"/>
      <c r="H110" s="431"/>
      <c r="I110" s="550" t="s">
        <v>3674</v>
      </c>
      <c r="J110" s="515" t="s">
        <v>3656</v>
      </c>
      <c r="K110" s="452"/>
      <c r="L110" s="452"/>
      <c r="M110" s="452"/>
      <c r="N110" s="452"/>
      <c r="O110" s="452"/>
      <c r="P110" s="452"/>
      <c r="Q110" s="452"/>
      <c r="R110" s="452"/>
      <c r="S110" s="452"/>
      <c r="T110" s="452"/>
      <c r="U110" s="452"/>
      <c r="V110" s="452"/>
      <c r="W110" s="452"/>
      <c r="X110" s="452"/>
      <c r="Y110" s="452"/>
      <c r="Z110" s="452"/>
      <c r="AA110" s="551"/>
      <c r="AB110" s="452"/>
      <c r="AC110" s="453"/>
    </row>
    <row r="111" spans="1:29" s="552" customFormat="1" ht="72" hidden="1" outlineLevel="1">
      <c r="A111" s="548">
        <f t="shared" si="4"/>
        <v>19</v>
      </c>
      <c r="B111" s="549" t="s">
        <v>3620</v>
      </c>
      <c r="C111" s="549">
        <v>4</v>
      </c>
      <c r="D111" s="549" t="s">
        <v>3112</v>
      </c>
      <c r="E111" s="431" t="s">
        <v>3660</v>
      </c>
      <c r="F111" s="431"/>
      <c r="G111" s="431"/>
      <c r="H111" s="431"/>
      <c r="I111" s="550" t="s">
        <v>3675</v>
      </c>
      <c r="J111" s="515" t="s">
        <v>3656</v>
      </c>
      <c r="K111" s="452"/>
      <c r="L111" s="452"/>
      <c r="M111" s="452"/>
      <c r="N111" s="452"/>
      <c r="O111" s="452"/>
      <c r="P111" s="452"/>
      <c r="Q111" s="452"/>
      <c r="R111" s="452"/>
      <c r="S111" s="452"/>
      <c r="T111" s="452"/>
      <c r="U111" s="452"/>
      <c r="V111" s="452"/>
      <c r="W111" s="452"/>
      <c r="X111" s="452"/>
      <c r="Y111" s="452"/>
      <c r="Z111" s="452"/>
      <c r="AA111" s="551"/>
      <c r="AB111" s="452"/>
      <c r="AC111" s="453"/>
    </row>
    <row r="112" spans="1:29" s="552" customFormat="1" ht="57.75" hidden="1" outlineLevel="1">
      <c r="A112" s="548">
        <f t="shared" si="4"/>
        <v>20</v>
      </c>
      <c r="B112" s="549" t="s">
        <v>3620</v>
      </c>
      <c r="C112" s="549">
        <v>7</v>
      </c>
      <c r="D112" s="549" t="s">
        <v>3112</v>
      </c>
      <c r="E112" s="431" t="s">
        <v>3660</v>
      </c>
      <c r="F112" s="431"/>
      <c r="G112" s="431"/>
      <c r="H112" s="431"/>
      <c r="I112" s="550" t="s">
        <v>3676</v>
      </c>
      <c r="J112" s="515" t="s">
        <v>3656</v>
      </c>
      <c r="K112" s="452"/>
      <c r="L112" s="452"/>
      <c r="M112" s="452"/>
      <c r="N112" s="452"/>
      <c r="O112" s="452"/>
      <c r="P112" s="452"/>
      <c r="Q112" s="452"/>
      <c r="R112" s="452"/>
      <c r="S112" s="452"/>
      <c r="T112" s="452"/>
      <c r="U112" s="452"/>
      <c r="V112" s="452"/>
      <c r="W112" s="452"/>
      <c r="X112" s="452"/>
      <c r="Y112" s="452"/>
      <c r="Z112" s="452"/>
      <c r="AA112" s="551"/>
      <c r="AB112" s="452"/>
      <c r="AC112" s="453"/>
    </row>
    <row r="113" spans="1:29" s="552" customFormat="1" ht="57.75" hidden="1" outlineLevel="1">
      <c r="A113" s="548">
        <f>A112+1</f>
        <v>21</v>
      </c>
      <c r="B113" s="549" t="s">
        <v>3620</v>
      </c>
      <c r="C113" s="549">
        <v>5</v>
      </c>
      <c r="D113" s="549" t="s">
        <v>3112</v>
      </c>
      <c r="E113" s="431" t="s">
        <v>3660</v>
      </c>
      <c r="F113" s="431"/>
      <c r="G113" s="431"/>
      <c r="H113" s="431"/>
      <c r="I113" s="550" t="s">
        <v>3677</v>
      </c>
      <c r="J113" s="515" t="s">
        <v>3656</v>
      </c>
      <c r="K113" s="452"/>
      <c r="L113" s="452"/>
      <c r="M113" s="452"/>
      <c r="N113" s="452"/>
      <c r="O113" s="452"/>
      <c r="P113" s="452"/>
      <c r="Q113" s="452"/>
      <c r="R113" s="452"/>
      <c r="S113" s="452"/>
      <c r="T113" s="452"/>
      <c r="U113" s="452"/>
      <c r="V113" s="452"/>
      <c r="W113" s="452"/>
      <c r="X113" s="452"/>
      <c r="Y113" s="452"/>
      <c r="Z113" s="452"/>
      <c r="AA113" s="551"/>
      <c r="AB113" s="452"/>
      <c r="AC113" s="453"/>
    </row>
    <row r="114" spans="1:29" s="552" customFormat="1" ht="43.5" hidden="1" outlineLevel="1">
      <c r="A114" s="548">
        <f>A113+1</f>
        <v>22</v>
      </c>
      <c r="B114" s="549" t="s">
        <v>3620</v>
      </c>
      <c r="C114" s="549">
        <v>3.6</v>
      </c>
      <c r="D114" s="549" t="s">
        <v>3112</v>
      </c>
      <c r="E114" s="431" t="s">
        <v>3660</v>
      </c>
      <c r="F114" s="431"/>
      <c r="G114" s="431"/>
      <c r="H114" s="431"/>
      <c r="I114" s="550" t="s">
        <v>3678</v>
      </c>
      <c r="J114" s="515" t="s">
        <v>3656</v>
      </c>
      <c r="K114" s="452"/>
      <c r="L114" s="452"/>
      <c r="M114" s="452"/>
      <c r="N114" s="452"/>
      <c r="O114" s="452"/>
      <c r="P114" s="452"/>
      <c r="Q114" s="452"/>
      <c r="R114" s="452"/>
      <c r="S114" s="452"/>
      <c r="T114" s="452"/>
      <c r="U114" s="452"/>
      <c r="V114" s="452"/>
      <c r="W114" s="452"/>
      <c r="X114" s="452"/>
      <c r="Y114" s="452"/>
      <c r="Z114" s="452"/>
      <c r="AA114" s="551"/>
      <c r="AB114" s="452"/>
      <c r="AC114" s="453"/>
    </row>
    <row r="115" spans="1:29" s="535" customFormat="1" ht="52.5" customHeight="1" collapsed="1">
      <c r="A115" s="518">
        <f>A92+1</f>
        <v>48</v>
      </c>
      <c r="B115" s="518" t="s">
        <v>3620</v>
      </c>
      <c r="C115" s="518">
        <v>750</v>
      </c>
      <c r="D115" s="518" t="s">
        <v>3112</v>
      </c>
      <c r="E115" s="515" t="s">
        <v>3679</v>
      </c>
      <c r="F115" s="515">
        <v>23</v>
      </c>
      <c r="G115" s="515">
        <v>5</v>
      </c>
      <c r="H115" s="515">
        <v>2014</v>
      </c>
      <c r="I115" s="515" t="s">
        <v>3680</v>
      </c>
      <c r="J115" s="515" t="s">
        <v>3681</v>
      </c>
      <c r="K115" s="515" t="s">
        <v>3682</v>
      </c>
      <c r="L115" s="518">
        <f>65081.69</f>
        <v>65081.69</v>
      </c>
      <c r="M115" s="515" t="s">
        <v>3683</v>
      </c>
      <c r="N115" s="520" t="s">
        <v>3684</v>
      </c>
      <c r="O115" s="526"/>
      <c r="P115" s="526"/>
      <c r="Q115" s="516" t="s">
        <v>3685</v>
      </c>
      <c r="R115" s="518" t="s">
        <v>5005</v>
      </c>
      <c r="S115" s="1422">
        <v>41921</v>
      </c>
      <c r="T115" s="557">
        <f>24686*1.18</f>
        <v>29129.48</v>
      </c>
      <c r="U115" s="534">
        <v>29129.48</v>
      </c>
      <c r="V115" s="1426">
        <v>42033</v>
      </c>
      <c r="W115" s="1426"/>
      <c r="X115" s="1426"/>
      <c r="Y115" s="558"/>
      <c r="Z115" s="559" t="s">
        <v>5032</v>
      </c>
      <c r="AA115" s="1426">
        <v>42759</v>
      </c>
      <c r="AB115" s="526"/>
      <c r="AC115" s="527">
        <f>L115/1.18</f>
        <v>55153.97457627119</v>
      </c>
    </row>
    <row r="117" spans="1:29">
      <c r="T117" s="242"/>
    </row>
    <row r="119" spans="1:29">
      <c r="L119" s="560"/>
    </row>
    <row r="129" spans="5:12">
      <c r="E129" s="560"/>
      <c r="F129" s="560"/>
      <c r="G129" s="560"/>
      <c r="H129" s="560"/>
    </row>
    <row r="144" spans="5:12">
      <c r="L144" s="560"/>
    </row>
  </sheetData>
  <autoFilter ref="A8:AD115"/>
  <mergeCells count="24">
    <mergeCell ref="AC4:AC5"/>
    <mergeCell ref="C6:D6"/>
    <mergeCell ref="Z6:AA6"/>
    <mergeCell ref="N4:N5"/>
    <mergeCell ref="O4:O5"/>
    <mergeCell ref="M4:M5"/>
    <mergeCell ref="R4:S4"/>
    <mergeCell ref="Z4:AA4"/>
    <mergeCell ref="C7:D7"/>
    <mergeCell ref="Y4:Y5"/>
    <mergeCell ref="I4:I5"/>
    <mergeCell ref="J4:J5"/>
    <mergeCell ref="K4:K5"/>
    <mergeCell ref="L4:L5"/>
    <mergeCell ref="A2:AB2"/>
    <mergeCell ref="A4:A5"/>
    <mergeCell ref="B4:B5"/>
    <mergeCell ref="C4:D5"/>
    <mergeCell ref="E4:H4"/>
    <mergeCell ref="P4:P5"/>
    <mergeCell ref="Q4:Q5"/>
    <mergeCell ref="T4:T5"/>
    <mergeCell ref="AB4:AB5"/>
    <mergeCell ref="U4:X4"/>
  </mergeCells>
  <phoneticPr fontId="0" type="noConversion"/>
  <hyperlinks>
    <hyperlink ref="A1" location="Главная!A1" display="Переход на главную страницу"/>
  </hyperlinks>
  <printOptions horizontalCentered="1"/>
  <pageMargins left="0.19685039370078741" right="0.19685039370078741" top="0.16" bottom="0.12" header="0.18" footer="0.14000000000000001"/>
  <pageSetup paperSize="258" scale="14" orientation="landscape" horizontalDpi="4294967293" r:id="rId1"/>
  <legacyDrawing r:id="rId2"/>
</worksheet>
</file>

<file path=xl/worksheets/sheet19.xml><?xml version="1.0" encoding="utf-8"?>
<worksheet xmlns="http://schemas.openxmlformats.org/spreadsheetml/2006/main" xmlns:r="http://schemas.openxmlformats.org/officeDocument/2006/relationships">
  <dimension ref="A1:L193"/>
  <sheetViews>
    <sheetView view="pageBreakPreview" topLeftCell="A170" zoomScaleNormal="100" zoomScaleSheetLayoutView="100" workbookViewId="0">
      <selection activeCell="A195" sqref="A195"/>
    </sheetView>
  </sheetViews>
  <sheetFormatPr defaultRowHeight="14.25"/>
  <cols>
    <col min="1" max="1" width="4.7109375" style="319" customWidth="1"/>
    <col min="2" max="2" width="17.7109375" style="319" customWidth="1"/>
    <col min="3" max="12" width="11.140625" style="319" customWidth="1"/>
    <col min="13" max="16384" width="9.140625" style="319"/>
  </cols>
  <sheetData>
    <row r="1" spans="1:12" ht="15.75">
      <c r="B1" s="79" t="s">
        <v>724</v>
      </c>
      <c r="L1" s="319" t="s">
        <v>3686</v>
      </c>
    </row>
    <row r="2" spans="1:12">
      <c r="A2" s="382"/>
      <c r="B2" s="382"/>
      <c r="C2" s="382"/>
      <c r="D2" s="382"/>
      <c r="E2" s="382"/>
      <c r="F2" s="382"/>
      <c r="G2" s="382"/>
      <c r="H2" s="382"/>
      <c r="I2" s="382"/>
      <c r="J2" s="382"/>
      <c r="K2" s="382"/>
      <c r="L2" s="382"/>
    </row>
    <row r="3" spans="1:12">
      <c r="A3" s="382"/>
      <c r="B3" s="382"/>
      <c r="C3" s="382"/>
      <c r="D3" s="382"/>
      <c r="E3" s="382"/>
      <c r="F3" s="382"/>
      <c r="G3" s="382"/>
      <c r="H3" s="382"/>
      <c r="I3" s="382"/>
      <c r="J3" s="382"/>
      <c r="K3" s="382"/>
      <c r="L3" s="382"/>
    </row>
    <row r="4" spans="1:12">
      <c r="A4" s="1651" t="s">
        <v>3687</v>
      </c>
      <c r="B4" s="1651"/>
      <c r="C4" s="1651"/>
      <c r="D4" s="1651"/>
      <c r="E4" s="1651"/>
      <c r="F4" s="1651"/>
      <c r="G4" s="1651"/>
      <c r="H4" s="1651"/>
      <c r="I4" s="1651"/>
      <c r="J4" s="1651"/>
      <c r="K4" s="1651"/>
      <c r="L4" s="1651"/>
    </row>
    <row r="5" spans="1:12" ht="15" thickBot="1">
      <c r="A5" s="382"/>
      <c r="B5" s="382"/>
      <c r="C5" s="382"/>
      <c r="D5" s="382"/>
      <c r="E5" s="382"/>
      <c r="F5" s="382"/>
      <c r="G5" s="382"/>
      <c r="H5" s="382"/>
      <c r="I5" s="382"/>
      <c r="J5" s="382"/>
      <c r="K5" s="382"/>
      <c r="L5" s="382"/>
    </row>
    <row r="6" spans="1:12">
      <c r="A6" s="1741" t="s">
        <v>3544</v>
      </c>
      <c r="B6" s="1747" t="s">
        <v>3052</v>
      </c>
      <c r="C6" s="1743" t="s">
        <v>3053</v>
      </c>
      <c r="D6" s="1740"/>
      <c r="E6" s="1744" t="s">
        <v>3054</v>
      </c>
      <c r="F6" s="1745"/>
      <c r="G6" s="1739" t="s">
        <v>3055</v>
      </c>
      <c r="H6" s="1740"/>
      <c r="I6" s="1739" t="s">
        <v>3056</v>
      </c>
      <c r="J6" s="1740"/>
      <c r="K6" s="1739" t="s">
        <v>3057</v>
      </c>
      <c r="L6" s="1749"/>
    </row>
    <row r="7" spans="1:12" ht="24.75" thickBot="1">
      <c r="A7" s="1742"/>
      <c r="B7" s="1748"/>
      <c r="C7" s="383" t="s">
        <v>3058</v>
      </c>
      <c r="D7" s="384" t="s">
        <v>3059</v>
      </c>
      <c r="E7" s="383" t="s">
        <v>3058</v>
      </c>
      <c r="F7" s="384" t="s">
        <v>3059</v>
      </c>
      <c r="G7" s="383" t="s">
        <v>3058</v>
      </c>
      <c r="H7" s="384" t="s">
        <v>3059</v>
      </c>
      <c r="I7" s="383" t="s">
        <v>3058</v>
      </c>
      <c r="J7" s="384" t="s">
        <v>3059</v>
      </c>
      <c r="K7" s="383" t="s">
        <v>3058</v>
      </c>
      <c r="L7" s="385" t="s">
        <v>3059</v>
      </c>
    </row>
    <row r="8" spans="1:12">
      <c r="A8" s="386">
        <v>1</v>
      </c>
      <c r="B8" s="387" t="s">
        <v>3060</v>
      </c>
      <c r="C8" s="388">
        <v>0</v>
      </c>
      <c r="D8" s="388">
        <v>0</v>
      </c>
      <c r="E8" s="388">
        <v>0</v>
      </c>
      <c r="F8" s="388">
        <v>0</v>
      </c>
      <c r="G8" s="561">
        <v>0</v>
      </c>
      <c r="H8" s="561">
        <v>0</v>
      </c>
      <c r="I8" s="561">
        <f>C8+E8+G8</f>
        <v>0</v>
      </c>
      <c r="J8" s="561">
        <f>D8+F8+H8</f>
        <v>0</v>
      </c>
      <c r="K8" s="561">
        <f>I8</f>
        <v>0</v>
      </c>
      <c r="L8" s="390">
        <f>J8</f>
        <v>0</v>
      </c>
    </row>
    <row r="9" spans="1:12">
      <c r="A9" s="391">
        <v>2</v>
      </c>
      <c r="B9" s="392" t="s">
        <v>3061</v>
      </c>
      <c r="C9" s="393">
        <v>0</v>
      </c>
      <c r="D9" s="393">
        <v>0</v>
      </c>
      <c r="E9" s="393">
        <v>0</v>
      </c>
      <c r="F9" s="393">
        <v>0</v>
      </c>
      <c r="G9" s="562">
        <v>0</v>
      </c>
      <c r="H9" s="562">
        <v>0</v>
      </c>
      <c r="I9" s="561">
        <f>C9+E9+G9</f>
        <v>0</v>
      </c>
      <c r="J9" s="561">
        <f>D9+F9+H9</f>
        <v>0</v>
      </c>
      <c r="K9" s="561">
        <f>I9</f>
        <v>0</v>
      </c>
      <c r="L9" s="390">
        <f>J9</f>
        <v>0</v>
      </c>
    </row>
    <row r="10" spans="1:12" ht="15" thickBot="1">
      <c r="A10" s="1750" t="s">
        <v>3062</v>
      </c>
      <c r="B10" s="1751"/>
      <c r="C10" s="395">
        <f t="shared" ref="C10:L10" si="0">SUM(C8:C9)</f>
        <v>0</v>
      </c>
      <c r="D10" s="395">
        <f t="shared" si="0"/>
        <v>0</v>
      </c>
      <c r="E10" s="395">
        <f t="shared" si="0"/>
        <v>0</v>
      </c>
      <c r="F10" s="395">
        <f t="shared" si="0"/>
        <v>0</v>
      </c>
      <c r="G10" s="395">
        <f t="shared" si="0"/>
        <v>0</v>
      </c>
      <c r="H10" s="395">
        <f t="shared" si="0"/>
        <v>0</v>
      </c>
      <c r="I10" s="395">
        <f t="shared" si="0"/>
        <v>0</v>
      </c>
      <c r="J10" s="395">
        <f t="shared" si="0"/>
        <v>0</v>
      </c>
      <c r="K10" s="395">
        <f t="shared" si="0"/>
        <v>0</v>
      </c>
      <c r="L10" s="396">
        <f t="shared" si="0"/>
        <v>0</v>
      </c>
    </row>
    <row r="11" spans="1:12">
      <c r="A11" s="1741" t="s">
        <v>3544</v>
      </c>
      <c r="B11" s="1747" t="s">
        <v>3052</v>
      </c>
      <c r="C11" s="1743" t="s">
        <v>3063</v>
      </c>
      <c r="D11" s="1740"/>
      <c r="E11" s="1744" t="s">
        <v>3064</v>
      </c>
      <c r="F11" s="1745"/>
      <c r="G11" s="1739" t="s">
        <v>3065</v>
      </c>
      <c r="H11" s="1740"/>
      <c r="I11" s="1739" t="s">
        <v>3066</v>
      </c>
      <c r="J11" s="1740"/>
      <c r="K11" s="1739" t="s">
        <v>3057</v>
      </c>
      <c r="L11" s="1749"/>
    </row>
    <row r="12" spans="1:12" ht="24.75" thickBot="1">
      <c r="A12" s="1742"/>
      <c r="B12" s="1748"/>
      <c r="C12" s="383" t="s">
        <v>3058</v>
      </c>
      <c r="D12" s="384" t="s">
        <v>3059</v>
      </c>
      <c r="E12" s="383" t="s">
        <v>3058</v>
      </c>
      <c r="F12" s="384" t="s">
        <v>3059</v>
      </c>
      <c r="G12" s="383" t="s">
        <v>3058</v>
      </c>
      <c r="H12" s="384" t="s">
        <v>3059</v>
      </c>
      <c r="I12" s="383" t="s">
        <v>3058</v>
      </c>
      <c r="J12" s="384" t="s">
        <v>3059</v>
      </c>
      <c r="K12" s="383" t="s">
        <v>3058</v>
      </c>
      <c r="L12" s="385" t="s">
        <v>3059</v>
      </c>
    </row>
    <row r="13" spans="1:12">
      <c r="A13" s="386">
        <v>1</v>
      </c>
      <c r="B13" s="387" t="s">
        <v>3060</v>
      </c>
      <c r="C13" s="388">
        <v>0</v>
      </c>
      <c r="D13" s="388">
        <v>0</v>
      </c>
      <c r="E13" s="388">
        <v>0</v>
      </c>
      <c r="F13" s="388">
        <v>0</v>
      </c>
      <c r="G13" s="561">
        <v>2</v>
      </c>
      <c r="H13" s="561">
        <v>329.2</v>
      </c>
      <c r="I13" s="561">
        <f>C13+E13+G13</f>
        <v>2</v>
      </c>
      <c r="J13" s="561">
        <f>D13+F13+H13</f>
        <v>329.2</v>
      </c>
      <c r="K13" s="561">
        <f>K8+I13</f>
        <v>2</v>
      </c>
      <c r="L13" s="390">
        <f>L8+J13</f>
        <v>329.2</v>
      </c>
    </row>
    <row r="14" spans="1:12">
      <c r="A14" s="391">
        <v>2</v>
      </c>
      <c r="B14" s="392" t="s">
        <v>3061</v>
      </c>
      <c r="C14" s="393">
        <v>0</v>
      </c>
      <c r="D14" s="393">
        <v>0</v>
      </c>
      <c r="E14" s="393">
        <v>0</v>
      </c>
      <c r="F14" s="393">
        <v>0</v>
      </c>
      <c r="G14" s="562">
        <v>1</v>
      </c>
      <c r="H14" s="562">
        <v>958.36</v>
      </c>
      <c r="I14" s="561">
        <f>C14+E14+G14</f>
        <v>1</v>
      </c>
      <c r="J14" s="561">
        <f>D14+F14+H14</f>
        <v>958.36</v>
      </c>
      <c r="K14" s="562">
        <f>K9+I14</f>
        <v>1</v>
      </c>
      <c r="L14" s="563">
        <f>L9+J14</f>
        <v>958.36</v>
      </c>
    </row>
    <row r="15" spans="1:12" ht="15" thickBot="1">
      <c r="A15" s="1750" t="s">
        <v>3062</v>
      </c>
      <c r="B15" s="1751"/>
      <c r="C15" s="395">
        <f t="shared" ref="C15:L15" si="1">SUM(C13:C14)</f>
        <v>0</v>
      </c>
      <c r="D15" s="395">
        <f t="shared" si="1"/>
        <v>0</v>
      </c>
      <c r="E15" s="395">
        <f t="shared" si="1"/>
        <v>0</v>
      </c>
      <c r="F15" s="395">
        <f t="shared" si="1"/>
        <v>0</v>
      </c>
      <c r="G15" s="395">
        <f t="shared" si="1"/>
        <v>3</v>
      </c>
      <c r="H15" s="395">
        <f t="shared" si="1"/>
        <v>1287.56</v>
      </c>
      <c r="I15" s="395">
        <f t="shared" si="1"/>
        <v>3</v>
      </c>
      <c r="J15" s="395">
        <f t="shared" si="1"/>
        <v>1287.56</v>
      </c>
      <c r="K15" s="395">
        <f t="shared" si="1"/>
        <v>3</v>
      </c>
      <c r="L15" s="396">
        <f t="shared" si="1"/>
        <v>1287.56</v>
      </c>
    </row>
    <row r="16" spans="1:12">
      <c r="A16" s="1741" t="s">
        <v>3544</v>
      </c>
      <c r="B16" s="1747" t="s">
        <v>3052</v>
      </c>
      <c r="C16" s="1743" t="s">
        <v>3067</v>
      </c>
      <c r="D16" s="1740"/>
      <c r="E16" s="1744" t="s">
        <v>3068</v>
      </c>
      <c r="F16" s="1745"/>
      <c r="G16" s="1739" t="s">
        <v>3069</v>
      </c>
      <c r="H16" s="1740"/>
      <c r="I16" s="1739" t="s">
        <v>3070</v>
      </c>
      <c r="J16" s="1740"/>
      <c r="K16" s="1739" t="s">
        <v>3057</v>
      </c>
      <c r="L16" s="1749"/>
    </row>
    <row r="17" spans="1:12" ht="24.75" thickBot="1">
      <c r="A17" s="1742"/>
      <c r="B17" s="1748"/>
      <c r="C17" s="383" t="s">
        <v>3058</v>
      </c>
      <c r="D17" s="384" t="s">
        <v>3059</v>
      </c>
      <c r="E17" s="383" t="s">
        <v>3058</v>
      </c>
      <c r="F17" s="384" t="s">
        <v>3059</v>
      </c>
      <c r="G17" s="383" t="s">
        <v>3058</v>
      </c>
      <c r="H17" s="384" t="s">
        <v>3059</v>
      </c>
      <c r="I17" s="383" t="s">
        <v>3058</v>
      </c>
      <c r="J17" s="384" t="s">
        <v>3059</v>
      </c>
      <c r="K17" s="383" t="s">
        <v>3058</v>
      </c>
      <c r="L17" s="385" t="s">
        <v>3059</v>
      </c>
    </row>
    <row r="18" spans="1:12">
      <c r="A18" s="386">
        <v>1</v>
      </c>
      <c r="B18" s="387" t="s">
        <v>3060</v>
      </c>
      <c r="C18" s="388">
        <v>0</v>
      </c>
      <c r="D18" s="388">
        <v>0</v>
      </c>
      <c r="E18" s="388">
        <v>0</v>
      </c>
      <c r="F18" s="388">
        <v>0</v>
      </c>
      <c r="G18" s="561">
        <v>0</v>
      </c>
      <c r="H18" s="561">
        <v>0</v>
      </c>
      <c r="I18" s="561">
        <f>C18+E18+G18</f>
        <v>0</v>
      </c>
      <c r="J18" s="561">
        <f>D18+F18+H18</f>
        <v>0</v>
      </c>
      <c r="K18" s="561">
        <f>K13+I18</f>
        <v>2</v>
      </c>
      <c r="L18" s="390">
        <f>L13+J18</f>
        <v>329.2</v>
      </c>
    </row>
    <row r="19" spans="1:12">
      <c r="A19" s="391">
        <v>2</v>
      </c>
      <c r="B19" s="392" t="s">
        <v>3061</v>
      </c>
      <c r="C19" s="393">
        <v>0</v>
      </c>
      <c r="D19" s="393">
        <v>0</v>
      </c>
      <c r="E19" s="393">
        <v>0</v>
      </c>
      <c r="F19" s="393">
        <v>0</v>
      </c>
      <c r="G19" s="562">
        <v>0</v>
      </c>
      <c r="H19" s="562">
        <v>0</v>
      </c>
      <c r="I19" s="561">
        <f>C19+E19+G19</f>
        <v>0</v>
      </c>
      <c r="J19" s="561">
        <f>D19+F19+H19</f>
        <v>0</v>
      </c>
      <c r="K19" s="562">
        <f>K14+I19</f>
        <v>1</v>
      </c>
      <c r="L19" s="563">
        <f>L14+J19</f>
        <v>958.36</v>
      </c>
    </row>
    <row r="20" spans="1:12" ht="15" thickBot="1">
      <c r="A20" s="1750" t="s">
        <v>3062</v>
      </c>
      <c r="B20" s="1751"/>
      <c r="C20" s="395">
        <f t="shared" ref="C20:L20" si="2">SUM(C18:C19)</f>
        <v>0</v>
      </c>
      <c r="D20" s="395">
        <f t="shared" si="2"/>
        <v>0</v>
      </c>
      <c r="E20" s="395">
        <f t="shared" si="2"/>
        <v>0</v>
      </c>
      <c r="F20" s="395">
        <f t="shared" si="2"/>
        <v>0</v>
      </c>
      <c r="G20" s="395">
        <f t="shared" si="2"/>
        <v>0</v>
      </c>
      <c r="H20" s="395">
        <f t="shared" si="2"/>
        <v>0</v>
      </c>
      <c r="I20" s="395">
        <f t="shared" si="2"/>
        <v>0</v>
      </c>
      <c r="J20" s="395">
        <f t="shared" si="2"/>
        <v>0</v>
      </c>
      <c r="K20" s="395">
        <f t="shared" si="2"/>
        <v>3</v>
      </c>
      <c r="L20" s="396">
        <f t="shared" si="2"/>
        <v>1287.56</v>
      </c>
    </row>
    <row r="21" spans="1:12">
      <c r="A21" s="1741" t="s">
        <v>3544</v>
      </c>
      <c r="B21" s="1747" t="s">
        <v>3052</v>
      </c>
      <c r="C21" s="1743" t="s">
        <v>3071</v>
      </c>
      <c r="D21" s="1740"/>
      <c r="E21" s="1744" t="s">
        <v>3072</v>
      </c>
      <c r="F21" s="1745"/>
      <c r="G21" s="1739" t="s">
        <v>3073</v>
      </c>
      <c r="H21" s="1740"/>
      <c r="I21" s="1739" t="s">
        <v>3074</v>
      </c>
      <c r="J21" s="1740"/>
      <c r="K21" s="1739" t="s">
        <v>3057</v>
      </c>
      <c r="L21" s="1749"/>
    </row>
    <row r="22" spans="1:12" ht="24.75" thickBot="1">
      <c r="A22" s="1742"/>
      <c r="B22" s="1748"/>
      <c r="C22" s="383" t="s">
        <v>3058</v>
      </c>
      <c r="D22" s="384" t="s">
        <v>3059</v>
      </c>
      <c r="E22" s="383" t="s">
        <v>3058</v>
      </c>
      <c r="F22" s="384" t="s">
        <v>3059</v>
      </c>
      <c r="G22" s="383" t="s">
        <v>3058</v>
      </c>
      <c r="H22" s="384" t="s">
        <v>3059</v>
      </c>
      <c r="I22" s="383" t="s">
        <v>3058</v>
      </c>
      <c r="J22" s="384" t="s">
        <v>3059</v>
      </c>
      <c r="K22" s="383" t="s">
        <v>3058</v>
      </c>
      <c r="L22" s="385" t="s">
        <v>3059</v>
      </c>
    </row>
    <row r="23" spans="1:12">
      <c r="A23" s="386">
        <v>1</v>
      </c>
      <c r="B23" s="387" t="s">
        <v>3060</v>
      </c>
      <c r="C23" s="388">
        <v>0</v>
      </c>
      <c r="D23" s="388">
        <v>0</v>
      </c>
      <c r="E23" s="388">
        <v>0</v>
      </c>
      <c r="F23" s="388">
        <v>0</v>
      </c>
      <c r="G23" s="561">
        <v>0</v>
      </c>
      <c r="H23" s="561">
        <v>0</v>
      </c>
      <c r="I23" s="561">
        <f>C23+E23+G23</f>
        <v>0</v>
      </c>
      <c r="J23" s="561">
        <f>D23+F23+H23</f>
        <v>0</v>
      </c>
      <c r="K23" s="561">
        <f>K18+I23</f>
        <v>2</v>
      </c>
      <c r="L23" s="390">
        <f>L18+J23</f>
        <v>329.2</v>
      </c>
    </row>
    <row r="24" spans="1:12">
      <c r="A24" s="391">
        <v>2</v>
      </c>
      <c r="B24" s="392" t="s">
        <v>3061</v>
      </c>
      <c r="C24" s="393">
        <v>1</v>
      </c>
      <c r="D24" s="393">
        <v>78.099999999999994</v>
      </c>
      <c r="E24" s="393">
        <v>0</v>
      </c>
      <c r="F24" s="393">
        <v>0</v>
      </c>
      <c r="G24" s="562">
        <v>0</v>
      </c>
      <c r="H24" s="562">
        <v>0</v>
      </c>
      <c r="I24" s="561">
        <f>C24+E24+G24</f>
        <v>1</v>
      </c>
      <c r="J24" s="561">
        <f>D24+F24+H24</f>
        <v>78.099999999999994</v>
      </c>
      <c r="K24" s="562">
        <f>K19+I24</f>
        <v>2</v>
      </c>
      <c r="L24" s="563">
        <f>L19+J24</f>
        <v>1036.46</v>
      </c>
    </row>
    <row r="25" spans="1:12" ht="15" thickBot="1">
      <c r="A25" s="1737" t="s">
        <v>3062</v>
      </c>
      <c r="B25" s="1738"/>
      <c r="C25" s="399">
        <f t="shared" ref="C25:L25" si="3">SUM(C23:C24)</f>
        <v>1</v>
      </c>
      <c r="D25" s="399">
        <f t="shared" si="3"/>
        <v>78.099999999999994</v>
      </c>
      <c r="E25" s="399">
        <f t="shared" si="3"/>
        <v>0</v>
      </c>
      <c r="F25" s="399">
        <f t="shared" si="3"/>
        <v>0</v>
      </c>
      <c r="G25" s="399">
        <f t="shared" si="3"/>
        <v>0</v>
      </c>
      <c r="H25" s="399">
        <f t="shared" si="3"/>
        <v>0</v>
      </c>
      <c r="I25" s="399">
        <f t="shared" si="3"/>
        <v>1</v>
      </c>
      <c r="J25" s="399">
        <f t="shared" si="3"/>
        <v>78.099999999999994</v>
      </c>
      <c r="K25" s="399">
        <f t="shared" si="3"/>
        <v>4</v>
      </c>
      <c r="L25" s="400">
        <f t="shared" si="3"/>
        <v>1365.66</v>
      </c>
    </row>
    <row r="26" spans="1:12">
      <c r="A26" s="382"/>
      <c r="B26" s="382"/>
      <c r="C26" s="382"/>
      <c r="D26" s="382"/>
      <c r="E26" s="382"/>
      <c r="F26" s="382"/>
      <c r="G26" s="382"/>
      <c r="H26" s="382"/>
      <c r="I26" s="382"/>
      <c r="J26" s="382"/>
      <c r="K26" s="382"/>
      <c r="L26" s="382"/>
    </row>
    <row r="27" spans="1:12">
      <c r="A27" s="382"/>
      <c r="B27" s="382"/>
      <c r="C27" s="382"/>
      <c r="D27" s="382"/>
      <c r="E27" s="382"/>
      <c r="F27" s="382"/>
      <c r="G27" s="382"/>
      <c r="H27" s="382"/>
      <c r="I27" s="382"/>
      <c r="J27" s="382"/>
      <c r="K27" s="382"/>
      <c r="L27" s="382"/>
    </row>
    <row r="28" spans="1:12">
      <c r="A28" s="1651" t="s">
        <v>3688</v>
      </c>
      <c r="B28" s="1651"/>
      <c r="C28" s="1651"/>
      <c r="D28" s="1651"/>
      <c r="E28" s="1651"/>
      <c r="F28" s="1651"/>
      <c r="G28" s="1651"/>
      <c r="H28" s="1651"/>
      <c r="I28" s="1651"/>
      <c r="J28" s="1651"/>
      <c r="K28" s="1651"/>
      <c r="L28" s="1651"/>
    </row>
    <row r="29" spans="1:12" ht="15" thickBot="1">
      <c r="A29" s="382"/>
      <c r="B29" s="382"/>
      <c r="C29" s="382"/>
      <c r="D29" s="382"/>
      <c r="E29" s="382"/>
      <c r="F29" s="382"/>
      <c r="G29" s="382"/>
      <c r="H29" s="382"/>
      <c r="I29" s="382"/>
      <c r="J29" s="382"/>
      <c r="K29" s="382"/>
      <c r="L29" s="382"/>
    </row>
    <row r="30" spans="1:12">
      <c r="A30" s="1741" t="s">
        <v>3544</v>
      </c>
      <c r="B30" s="1747" t="s">
        <v>3052</v>
      </c>
      <c r="C30" s="1743" t="s">
        <v>3053</v>
      </c>
      <c r="D30" s="1740"/>
      <c r="E30" s="1744" t="s">
        <v>3054</v>
      </c>
      <c r="F30" s="1745"/>
      <c r="G30" s="1739" t="s">
        <v>3055</v>
      </c>
      <c r="H30" s="1740"/>
      <c r="I30" s="1739" t="s">
        <v>3056</v>
      </c>
      <c r="J30" s="1740"/>
      <c r="K30" s="1739" t="s">
        <v>3057</v>
      </c>
      <c r="L30" s="1749"/>
    </row>
    <row r="31" spans="1:12" ht="24.75" thickBot="1">
      <c r="A31" s="1742"/>
      <c r="B31" s="1748"/>
      <c r="C31" s="383" t="s">
        <v>3058</v>
      </c>
      <c r="D31" s="384" t="s">
        <v>3059</v>
      </c>
      <c r="E31" s="383" t="s">
        <v>3058</v>
      </c>
      <c r="F31" s="384" t="s">
        <v>3059</v>
      </c>
      <c r="G31" s="383" t="s">
        <v>3058</v>
      </c>
      <c r="H31" s="384" t="s">
        <v>3059</v>
      </c>
      <c r="I31" s="383" t="s">
        <v>3058</v>
      </c>
      <c r="J31" s="384" t="s">
        <v>3059</v>
      </c>
      <c r="K31" s="383" t="s">
        <v>3058</v>
      </c>
      <c r="L31" s="385" t="s">
        <v>3059</v>
      </c>
    </row>
    <row r="32" spans="1:12">
      <c r="A32" s="386">
        <v>1</v>
      </c>
      <c r="B32" s="387" t="s">
        <v>3060</v>
      </c>
      <c r="C32" s="388">
        <v>0</v>
      </c>
      <c r="D32" s="388">
        <v>0</v>
      </c>
      <c r="E32" s="388">
        <v>0</v>
      </c>
      <c r="F32" s="388">
        <v>0</v>
      </c>
      <c r="G32" s="561">
        <v>0</v>
      </c>
      <c r="H32" s="561">
        <v>0</v>
      </c>
      <c r="I32" s="561">
        <f>C32+E32+G32</f>
        <v>0</v>
      </c>
      <c r="J32" s="561">
        <f>D32+F32+H32</f>
        <v>0</v>
      </c>
      <c r="K32" s="561">
        <f>I32</f>
        <v>0</v>
      </c>
      <c r="L32" s="390">
        <f>J32</f>
        <v>0</v>
      </c>
    </row>
    <row r="33" spans="1:12">
      <c r="A33" s="391">
        <v>2</v>
      </c>
      <c r="B33" s="392" t="s">
        <v>3061</v>
      </c>
      <c r="C33" s="393">
        <v>0</v>
      </c>
      <c r="D33" s="393">
        <v>0</v>
      </c>
      <c r="E33" s="393">
        <v>0</v>
      </c>
      <c r="F33" s="393">
        <v>0</v>
      </c>
      <c r="G33" s="562">
        <v>0</v>
      </c>
      <c r="H33" s="562">
        <v>0</v>
      </c>
      <c r="I33" s="561">
        <f>C33+E33+G33</f>
        <v>0</v>
      </c>
      <c r="J33" s="561">
        <f>D33+F33+H33</f>
        <v>0</v>
      </c>
      <c r="K33" s="561">
        <f>I33</f>
        <v>0</v>
      </c>
      <c r="L33" s="390">
        <f>J33</f>
        <v>0</v>
      </c>
    </row>
    <row r="34" spans="1:12" ht="15" thickBot="1">
      <c r="A34" s="1750" t="s">
        <v>3062</v>
      </c>
      <c r="B34" s="1751"/>
      <c r="C34" s="395">
        <f t="shared" ref="C34:L34" si="4">SUM(C32:C33)</f>
        <v>0</v>
      </c>
      <c r="D34" s="395">
        <f t="shared" si="4"/>
        <v>0</v>
      </c>
      <c r="E34" s="395">
        <f t="shared" si="4"/>
        <v>0</v>
      </c>
      <c r="F34" s="395">
        <f t="shared" si="4"/>
        <v>0</v>
      </c>
      <c r="G34" s="395">
        <f t="shared" si="4"/>
        <v>0</v>
      </c>
      <c r="H34" s="395">
        <f t="shared" si="4"/>
        <v>0</v>
      </c>
      <c r="I34" s="395">
        <f t="shared" si="4"/>
        <v>0</v>
      </c>
      <c r="J34" s="395">
        <f t="shared" si="4"/>
        <v>0</v>
      </c>
      <c r="K34" s="395">
        <f t="shared" si="4"/>
        <v>0</v>
      </c>
      <c r="L34" s="396">
        <f t="shared" si="4"/>
        <v>0</v>
      </c>
    </row>
    <row r="35" spans="1:12">
      <c r="A35" s="1741" t="s">
        <v>3544</v>
      </c>
      <c r="B35" s="1747" t="s">
        <v>3052</v>
      </c>
      <c r="C35" s="1743" t="s">
        <v>3063</v>
      </c>
      <c r="D35" s="1740"/>
      <c r="E35" s="1744" t="s">
        <v>3064</v>
      </c>
      <c r="F35" s="1745"/>
      <c r="G35" s="1739" t="s">
        <v>3065</v>
      </c>
      <c r="H35" s="1740"/>
      <c r="I35" s="1739" t="s">
        <v>3066</v>
      </c>
      <c r="J35" s="1740"/>
      <c r="K35" s="1739" t="s">
        <v>3057</v>
      </c>
      <c r="L35" s="1749"/>
    </row>
    <row r="36" spans="1:12" ht="24.75" thickBot="1">
      <c r="A36" s="1742"/>
      <c r="B36" s="1748"/>
      <c r="C36" s="383" t="s">
        <v>3058</v>
      </c>
      <c r="D36" s="384" t="s">
        <v>3059</v>
      </c>
      <c r="E36" s="383" t="s">
        <v>3058</v>
      </c>
      <c r="F36" s="384" t="s">
        <v>3059</v>
      </c>
      <c r="G36" s="383" t="s">
        <v>3058</v>
      </c>
      <c r="H36" s="384" t="s">
        <v>3059</v>
      </c>
      <c r="I36" s="383" t="s">
        <v>3058</v>
      </c>
      <c r="J36" s="384" t="s">
        <v>3059</v>
      </c>
      <c r="K36" s="383" t="s">
        <v>3058</v>
      </c>
      <c r="L36" s="385" t="s">
        <v>3059</v>
      </c>
    </row>
    <row r="37" spans="1:12">
      <c r="A37" s="386">
        <v>1</v>
      </c>
      <c r="B37" s="387" t="s">
        <v>3060</v>
      </c>
      <c r="C37" s="388">
        <v>0</v>
      </c>
      <c r="D37" s="388">
        <v>0</v>
      </c>
      <c r="E37" s="388">
        <v>0</v>
      </c>
      <c r="F37" s="388">
        <v>0</v>
      </c>
      <c r="G37" s="561">
        <v>0</v>
      </c>
      <c r="H37" s="561">
        <v>0</v>
      </c>
      <c r="I37" s="561">
        <f>C37+E37+G37</f>
        <v>0</v>
      </c>
      <c r="J37" s="561">
        <f>D37+F37+H37</f>
        <v>0</v>
      </c>
      <c r="K37" s="561">
        <f>K32+I37</f>
        <v>0</v>
      </c>
      <c r="L37" s="390">
        <f>L32+J37</f>
        <v>0</v>
      </c>
    </row>
    <row r="38" spans="1:12">
      <c r="A38" s="391">
        <v>2</v>
      </c>
      <c r="B38" s="392" t="s">
        <v>3061</v>
      </c>
      <c r="C38" s="393">
        <v>0</v>
      </c>
      <c r="D38" s="393">
        <v>0</v>
      </c>
      <c r="E38" s="393">
        <v>1</v>
      </c>
      <c r="F38" s="393">
        <v>8.59</v>
      </c>
      <c r="G38" s="562">
        <v>0</v>
      </c>
      <c r="H38" s="562">
        <v>0</v>
      </c>
      <c r="I38" s="561">
        <f>C38+E38+G38</f>
        <v>1</v>
      </c>
      <c r="J38" s="561">
        <f>D38+F38+H38</f>
        <v>8.59</v>
      </c>
      <c r="K38" s="562">
        <f>K33+I38</f>
        <v>1</v>
      </c>
      <c r="L38" s="563">
        <f>L33+J38</f>
        <v>8.59</v>
      </c>
    </row>
    <row r="39" spans="1:12" ht="15" thickBot="1">
      <c r="A39" s="1750" t="s">
        <v>3062</v>
      </c>
      <c r="B39" s="1751"/>
      <c r="C39" s="395">
        <f t="shared" ref="C39:L39" si="5">SUM(C37:C38)</f>
        <v>0</v>
      </c>
      <c r="D39" s="395">
        <f t="shared" si="5"/>
        <v>0</v>
      </c>
      <c r="E39" s="395">
        <f t="shared" si="5"/>
        <v>1</v>
      </c>
      <c r="F39" s="395">
        <f t="shared" si="5"/>
        <v>8.59</v>
      </c>
      <c r="G39" s="395">
        <f t="shared" si="5"/>
        <v>0</v>
      </c>
      <c r="H39" s="395">
        <f t="shared" si="5"/>
        <v>0</v>
      </c>
      <c r="I39" s="395">
        <f t="shared" si="5"/>
        <v>1</v>
      </c>
      <c r="J39" s="395">
        <f t="shared" si="5"/>
        <v>8.59</v>
      </c>
      <c r="K39" s="395">
        <f t="shared" si="5"/>
        <v>1</v>
      </c>
      <c r="L39" s="396">
        <f t="shared" si="5"/>
        <v>8.59</v>
      </c>
    </row>
    <row r="40" spans="1:12">
      <c r="A40" s="1741" t="s">
        <v>3544</v>
      </c>
      <c r="B40" s="1747" t="s">
        <v>3052</v>
      </c>
      <c r="C40" s="1743" t="s">
        <v>3067</v>
      </c>
      <c r="D40" s="1740"/>
      <c r="E40" s="1744" t="s">
        <v>3068</v>
      </c>
      <c r="F40" s="1745"/>
      <c r="G40" s="1739" t="s">
        <v>3069</v>
      </c>
      <c r="H40" s="1740"/>
      <c r="I40" s="1739" t="s">
        <v>3070</v>
      </c>
      <c r="J40" s="1740"/>
      <c r="K40" s="1739" t="s">
        <v>3057</v>
      </c>
      <c r="L40" s="1749"/>
    </row>
    <row r="41" spans="1:12" ht="24.75" thickBot="1">
      <c r="A41" s="1742"/>
      <c r="B41" s="1748"/>
      <c r="C41" s="383" t="s">
        <v>3058</v>
      </c>
      <c r="D41" s="384" t="s">
        <v>3059</v>
      </c>
      <c r="E41" s="383" t="s">
        <v>3058</v>
      </c>
      <c r="F41" s="384" t="s">
        <v>3059</v>
      </c>
      <c r="G41" s="383" t="s">
        <v>3058</v>
      </c>
      <c r="H41" s="384" t="s">
        <v>3059</v>
      </c>
      <c r="I41" s="383" t="s">
        <v>3058</v>
      </c>
      <c r="J41" s="384" t="s">
        <v>3059</v>
      </c>
      <c r="K41" s="383" t="s">
        <v>3058</v>
      </c>
      <c r="L41" s="385" t="s">
        <v>3059</v>
      </c>
    </row>
    <row r="42" spans="1:12">
      <c r="A42" s="386">
        <v>1</v>
      </c>
      <c r="B42" s="387" t="s">
        <v>3060</v>
      </c>
      <c r="C42" s="564">
        <v>13</v>
      </c>
      <c r="D42" s="564">
        <v>195.6</v>
      </c>
      <c r="E42" s="388">
        <v>0</v>
      </c>
      <c r="F42" s="388">
        <v>0</v>
      </c>
      <c r="G42" s="561">
        <v>0</v>
      </c>
      <c r="H42" s="561">
        <v>0</v>
      </c>
      <c r="I42" s="561">
        <f>C42+E42+G42</f>
        <v>13</v>
      </c>
      <c r="J42" s="561">
        <f>D42+F42+H42</f>
        <v>195.6</v>
      </c>
      <c r="K42" s="561">
        <f>K37+I42</f>
        <v>13</v>
      </c>
      <c r="L42" s="390">
        <f>L37+J42</f>
        <v>195.6</v>
      </c>
    </row>
    <row r="43" spans="1:12">
      <c r="A43" s="391">
        <v>2</v>
      </c>
      <c r="B43" s="392" t="s">
        <v>3061</v>
      </c>
      <c r="C43" s="565">
        <v>6</v>
      </c>
      <c r="D43" s="393">
        <v>69.08</v>
      </c>
      <c r="E43" s="393">
        <v>0</v>
      </c>
      <c r="F43" s="393">
        <v>0</v>
      </c>
      <c r="G43" s="562">
        <v>0</v>
      </c>
      <c r="H43" s="562">
        <v>0</v>
      </c>
      <c r="I43" s="561">
        <f>C43+E43+G43</f>
        <v>6</v>
      </c>
      <c r="J43" s="561">
        <f>D43+F43+H43</f>
        <v>69.08</v>
      </c>
      <c r="K43" s="562">
        <f>K38+I43</f>
        <v>7</v>
      </c>
      <c r="L43" s="563">
        <f>L38+J43</f>
        <v>77.67</v>
      </c>
    </row>
    <row r="44" spans="1:12" ht="15" thickBot="1">
      <c r="A44" s="1750" t="s">
        <v>3062</v>
      </c>
      <c r="B44" s="1751"/>
      <c r="C44" s="395">
        <f t="shared" ref="C44:L44" si="6">SUM(C42:C43)</f>
        <v>19</v>
      </c>
      <c r="D44" s="395">
        <f t="shared" si="6"/>
        <v>264.68</v>
      </c>
      <c r="E44" s="395">
        <f t="shared" si="6"/>
        <v>0</v>
      </c>
      <c r="F44" s="395">
        <f t="shared" si="6"/>
        <v>0</v>
      </c>
      <c r="G44" s="395">
        <f t="shared" si="6"/>
        <v>0</v>
      </c>
      <c r="H44" s="395">
        <f t="shared" si="6"/>
        <v>0</v>
      </c>
      <c r="I44" s="395">
        <f t="shared" si="6"/>
        <v>19</v>
      </c>
      <c r="J44" s="395">
        <f t="shared" si="6"/>
        <v>264.68</v>
      </c>
      <c r="K44" s="395">
        <f t="shared" si="6"/>
        <v>20</v>
      </c>
      <c r="L44" s="396">
        <f t="shared" si="6"/>
        <v>273.27</v>
      </c>
    </row>
    <row r="45" spans="1:12">
      <c r="A45" s="1741" t="s">
        <v>3544</v>
      </c>
      <c r="B45" s="1747" t="s">
        <v>3052</v>
      </c>
      <c r="C45" s="1743" t="s">
        <v>3071</v>
      </c>
      <c r="D45" s="1740"/>
      <c r="E45" s="1744" t="s">
        <v>3072</v>
      </c>
      <c r="F45" s="1745"/>
      <c r="G45" s="1739" t="s">
        <v>3073</v>
      </c>
      <c r="H45" s="1740"/>
      <c r="I45" s="1739" t="s">
        <v>3074</v>
      </c>
      <c r="J45" s="1740"/>
      <c r="K45" s="1739" t="s">
        <v>3057</v>
      </c>
      <c r="L45" s="1749"/>
    </row>
    <row r="46" spans="1:12" ht="24.75" thickBot="1">
      <c r="A46" s="1742"/>
      <c r="B46" s="1748"/>
      <c r="C46" s="383" t="s">
        <v>3058</v>
      </c>
      <c r="D46" s="384" t="s">
        <v>3059</v>
      </c>
      <c r="E46" s="383" t="s">
        <v>3058</v>
      </c>
      <c r="F46" s="384" t="s">
        <v>3059</v>
      </c>
      <c r="G46" s="383" t="s">
        <v>3058</v>
      </c>
      <c r="H46" s="384" t="s">
        <v>3059</v>
      </c>
      <c r="I46" s="383" t="s">
        <v>3058</v>
      </c>
      <c r="J46" s="384" t="s">
        <v>3059</v>
      </c>
      <c r="K46" s="383" t="s">
        <v>3058</v>
      </c>
      <c r="L46" s="385" t="s">
        <v>3059</v>
      </c>
    </row>
    <row r="47" spans="1:12">
      <c r="A47" s="386">
        <v>1</v>
      </c>
      <c r="B47" s="387" t="s">
        <v>3060</v>
      </c>
      <c r="C47" s="388">
        <v>0</v>
      </c>
      <c r="D47" s="388">
        <v>0</v>
      </c>
      <c r="E47" s="388">
        <v>0</v>
      </c>
      <c r="F47" s="388">
        <v>0</v>
      </c>
      <c r="G47" s="561">
        <v>1</v>
      </c>
      <c r="H47" s="561">
        <v>142.69999999999999</v>
      </c>
      <c r="I47" s="561">
        <f>C47+E47+G47</f>
        <v>1</v>
      </c>
      <c r="J47" s="561">
        <f>D47+F47+H47</f>
        <v>142.69999999999999</v>
      </c>
      <c r="K47" s="561">
        <f>K42+I47</f>
        <v>14</v>
      </c>
      <c r="L47" s="390">
        <f>L42+J47</f>
        <v>338.29999999999995</v>
      </c>
    </row>
    <row r="48" spans="1:12">
      <c r="A48" s="391">
        <v>2</v>
      </c>
      <c r="B48" s="392" t="s">
        <v>3061</v>
      </c>
      <c r="C48" s="393">
        <v>0</v>
      </c>
      <c r="D48" s="393">
        <v>0</v>
      </c>
      <c r="E48" s="393">
        <v>0</v>
      </c>
      <c r="F48" s="393">
        <v>0</v>
      </c>
      <c r="G48" s="562">
        <v>0</v>
      </c>
      <c r="H48" s="562">
        <v>0</v>
      </c>
      <c r="I48" s="561">
        <f>C48+E48+G48</f>
        <v>0</v>
      </c>
      <c r="J48" s="561">
        <f>D48+F48+H48</f>
        <v>0</v>
      </c>
      <c r="K48" s="562">
        <f>K43+I48</f>
        <v>7</v>
      </c>
      <c r="L48" s="563">
        <f>L43+J48</f>
        <v>77.67</v>
      </c>
    </row>
    <row r="49" spans="1:12" ht="15" thickBot="1">
      <c r="A49" s="1737" t="s">
        <v>3062</v>
      </c>
      <c r="B49" s="1738"/>
      <c r="C49" s="399">
        <f t="shared" ref="C49:L49" si="7">SUM(C47:C48)</f>
        <v>0</v>
      </c>
      <c r="D49" s="399">
        <f t="shared" si="7"/>
        <v>0</v>
      </c>
      <c r="E49" s="399">
        <f t="shared" si="7"/>
        <v>0</v>
      </c>
      <c r="F49" s="399">
        <f t="shared" si="7"/>
        <v>0</v>
      </c>
      <c r="G49" s="399">
        <f t="shared" si="7"/>
        <v>1</v>
      </c>
      <c r="H49" s="399">
        <f t="shared" si="7"/>
        <v>142.69999999999999</v>
      </c>
      <c r="I49" s="399">
        <f t="shared" si="7"/>
        <v>1</v>
      </c>
      <c r="J49" s="399">
        <f t="shared" si="7"/>
        <v>142.69999999999999</v>
      </c>
      <c r="K49" s="399">
        <f t="shared" si="7"/>
        <v>21</v>
      </c>
      <c r="L49" s="400">
        <f t="shared" si="7"/>
        <v>415.96999999999997</v>
      </c>
    </row>
    <row r="50" spans="1:12">
      <c r="A50" s="382"/>
      <c r="B50" s="382"/>
      <c r="C50" s="382"/>
      <c r="D50" s="382"/>
      <c r="E50" s="382"/>
      <c r="F50" s="382"/>
      <c r="G50" s="382"/>
      <c r="H50" s="382"/>
      <c r="I50" s="382"/>
      <c r="J50" s="382"/>
      <c r="K50" s="382"/>
      <c r="L50" s="382"/>
    </row>
    <row r="52" spans="1:12">
      <c r="A52" s="1651" t="s">
        <v>3689</v>
      </c>
      <c r="B52" s="1651"/>
      <c r="C52" s="1651"/>
      <c r="D52" s="1651"/>
      <c r="E52" s="1651"/>
      <c r="F52" s="1651"/>
      <c r="G52" s="1651"/>
      <c r="H52" s="1651"/>
      <c r="I52" s="1651"/>
      <c r="J52" s="1651"/>
      <c r="K52" s="1651"/>
      <c r="L52" s="1651"/>
    </row>
    <row r="53" spans="1:12" ht="15" thickBot="1">
      <c r="A53" s="382"/>
      <c r="B53" s="382"/>
      <c r="C53" s="382"/>
      <c r="D53" s="382"/>
      <c r="E53" s="382"/>
      <c r="F53" s="382"/>
      <c r="G53" s="382"/>
      <c r="H53" s="382"/>
      <c r="I53" s="382"/>
      <c r="J53" s="382"/>
      <c r="K53" s="382"/>
      <c r="L53" s="382"/>
    </row>
    <row r="54" spans="1:12">
      <c r="A54" s="1778" t="s">
        <v>3544</v>
      </c>
      <c r="B54" s="1775" t="s">
        <v>3052</v>
      </c>
      <c r="C54" s="1777" t="s">
        <v>3053</v>
      </c>
      <c r="D54" s="1740"/>
      <c r="E54" s="1744" t="s">
        <v>3054</v>
      </c>
      <c r="F54" s="1745"/>
      <c r="G54" s="1739" t="s">
        <v>3055</v>
      </c>
      <c r="H54" s="1740"/>
      <c r="I54" s="1739" t="s">
        <v>3056</v>
      </c>
      <c r="J54" s="1740"/>
      <c r="K54" s="1739" t="s">
        <v>3057</v>
      </c>
      <c r="L54" s="1749"/>
    </row>
    <row r="55" spans="1:12" ht="24.75" thickBot="1">
      <c r="A55" s="1779"/>
      <c r="B55" s="1776"/>
      <c r="C55" s="383" t="s">
        <v>3058</v>
      </c>
      <c r="D55" s="384" t="s">
        <v>3059</v>
      </c>
      <c r="E55" s="383" t="s">
        <v>3058</v>
      </c>
      <c r="F55" s="384" t="s">
        <v>3059</v>
      </c>
      <c r="G55" s="383" t="s">
        <v>3058</v>
      </c>
      <c r="H55" s="384" t="s">
        <v>3059</v>
      </c>
      <c r="I55" s="383" t="s">
        <v>3058</v>
      </c>
      <c r="J55" s="384" t="s">
        <v>3059</v>
      </c>
      <c r="K55" s="383" t="s">
        <v>3058</v>
      </c>
      <c r="L55" s="385" t="s">
        <v>3059</v>
      </c>
    </row>
    <row r="56" spans="1:12">
      <c r="A56" s="386">
        <v>1</v>
      </c>
      <c r="B56" s="387" t="s">
        <v>3060</v>
      </c>
      <c r="C56" s="388">
        <v>0</v>
      </c>
      <c r="D56" s="388">
        <v>0</v>
      </c>
      <c r="E56" s="388">
        <v>2</v>
      </c>
      <c r="F56" s="388">
        <v>80</v>
      </c>
      <c r="G56" s="561">
        <v>0</v>
      </c>
      <c r="H56" s="561">
        <v>0</v>
      </c>
      <c r="I56" s="561">
        <f>C56+E56+G56</f>
        <v>2</v>
      </c>
      <c r="J56" s="561">
        <f>D56+F56+H56</f>
        <v>80</v>
      </c>
      <c r="K56" s="561">
        <f>I56</f>
        <v>2</v>
      </c>
      <c r="L56" s="390">
        <f>J56</f>
        <v>80</v>
      </c>
    </row>
    <row r="57" spans="1:12">
      <c r="A57" s="391">
        <v>2</v>
      </c>
      <c r="B57" s="392" t="s">
        <v>3061</v>
      </c>
      <c r="C57" s="393">
        <v>0</v>
      </c>
      <c r="D57" s="393">
        <v>0</v>
      </c>
      <c r="E57" s="393">
        <v>0</v>
      </c>
      <c r="F57" s="393">
        <v>0</v>
      </c>
      <c r="G57" s="562">
        <v>0</v>
      </c>
      <c r="H57" s="562">
        <v>0</v>
      </c>
      <c r="I57" s="561">
        <f>C57+E57+G57</f>
        <v>0</v>
      </c>
      <c r="J57" s="561">
        <f>D57+F57+H57</f>
        <v>0</v>
      </c>
      <c r="K57" s="561">
        <f>I57</f>
        <v>0</v>
      </c>
      <c r="L57" s="390">
        <f>J57</f>
        <v>0</v>
      </c>
    </row>
    <row r="58" spans="1:12" ht="15" thickBot="1">
      <c r="A58" s="1737" t="s">
        <v>3062</v>
      </c>
      <c r="B58" s="1738"/>
      <c r="C58" s="395">
        <f t="shared" ref="C58:L58" si="8">SUM(C56:C57)</f>
        <v>0</v>
      </c>
      <c r="D58" s="395">
        <f t="shared" si="8"/>
        <v>0</v>
      </c>
      <c r="E58" s="395">
        <f t="shared" si="8"/>
        <v>2</v>
      </c>
      <c r="F58" s="395">
        <f t="shared" si="8"/>
        <v>80</v>
      </c>
      <c r="G58" s="395">
        <f t="shared" si="8"/>
        <v>0</v>
      </c>
      <c r="H58" s="395">
        <f t="shared" si="8"/>
        <v>0</v>
      </c>
      <c r="I58" s="395">
        <f t="shared" si="8"/>
        <v>2</v>
      </c>
      <c r="J58" s="395">
        <f t="shared" si="8"/>
        <v>80</v>
      </c>
      <c r="K58" s="395">
        <f t="shared" si="8"/>
        <v>2</v>
      </c>
      <c r="L58" s="396">
        <f t="shared" si="8"/>
        <v>80</v>
      </c>
    </row>
    <row r="59" spans="1:12">
      <c r="A59" s="1778" t="s">
        <v>3544</v>
      </c>
      <c r="B59" s="1775" t="s">
        <v>3052</v>
      </c>
      <c r="C59" s="1777" t="s">
        <v>3063</v>
      </c>
      <c r="D59" s="1740"/>
      <c r="E59" s="1744" t="s">
        <v>3064</v>
      </c>
      <c r="F59" s="1745"/>
      <c r="G59" s="1739" t="s">
        <v>3065</v>
      </c>
      <c r="H59" s="1740"/>
      <c r="I59" s="1739" t="s">
        <v>3066</v>
      </c>
      <c r="J59" s="1740"/>
      <c r="K59" s="1739" t="s">
        <v>3057</v>
      </c>
      <c r="L59" s="1749"/>
    </row>
    <row r="60" spans="1:12" ht="24.75" thickBot="1">
      <c r="A60" s="1779"/>
      <c r="B60" s="1776"/>
      <c r="C60" s="383" t="s">
        <v>3058</v>
      </c>
      <c r="D60" s="384" t="s">
        <v>3059</v>
      </c>
      <c r="E60" s="383" t="s">
        <v>3058</v>
      </c>
      <c r="F60" s="384" t="s">
        <v>3059</v>
      </c>
      <c r="G60" s="383" t="s">
        <v>3058</v>
      </c>
      <c r="H60" s="384" t="s">
        <v>3059</v>
      </c>
      <c r="I60" s="383" t="s">
        <v>3058</v>
      </c>
      <c r="J60" s="384" t="s">
        <v>3059</v>
      </c>
      <c r="K60" s="383" t="s">
        <v>3058</v>
      </c>
      <c r="L60" s="385" t="s">
        <v>3059</v>
      </c>
    </row>
    <row r="61" spans="1:12">
      <c r="A61" s="386">
        <v>1</v>
      </c>
      <c r="B61" s="387" t="s">
        <v>3060</v>
      </c>
      <c r="C61" s="388">
        <v>0</v>
      </c>
      <c r="D61" s="388">
        <v>0</v>
      </c>
      <c r="E61" s="388">
        <v>0</v>
      </c>
      <c r="F61" s="388">
        <v>0</v>
      </c>
      <c r="G61" s="561">
        <v>0</v>
      </c>
      <c r="H61" s="561">
        <v>0</v>
      </c>
      <c r="I61" s="561">
        <f>C61+E61+G61</f>
        <v>0</v>
      </c>
      <c r="J61" s="561">
        <f>D61+F61+H61</f>
        <v>0</v>
      </c>
      <c r="K61" s="561">
        <f>K56+I61</f>
        <v>2</v>
      </c>
      <c r="L61" s="390">
        <f>L56+J61</f>
        <v>80</v>
      </c>
    </row>
    <row r="62" spans="1:12">
      <c r="A62" s="391">
        <v>2</v>
      </c>
      <c r="B62" s="392" t="s">
        <v>3061</v>
      </c>
      <c r="C62" s="393">
        <v>0</v>
      </c>
      <c r="D62" s="393">
        <v>0</v>
      </c>
      <c r="E62" s="393">
        <v>0</v>
      </c>
      <c r="F62" s="393">
        <v>0</v>
      </c>
      <c r="G62" s="562">
        <v>0</v>
      </c>
      <c r="H62" s="562">
        <v>0</v>
      </c>
      <c r="I62" s="561">
        <f>C62+E62+G62</f>
        <v>0</v>
      </c>
      <c r="J62" s="561">
        <f>D62+F62+H62</f>
        <v>0</v>
      </c>
      <c r="K62" s="562">
        <f>K57+I62</f>
        <v>0</v>
      </c>
      <c r="L62" s="563">
        <f>L57+J62</f>
        <v>0</v>
      </c>
    </row>
    <row r="63" spans="1:12" ht="15" thickBot="1">
      <c r="A63" s="1737" t="s">
        <v>3062</v>
      </c>
      <c r="B63" s="1738"/>
      <c r="C63" s="395">
        <f t="shared" ref="C63:L63" si="9">SUM(C61:C62)</f>
        <v>0</v>
      </c>
      <c r="D63" s="395">
        <f t="shared" si="9"/>
        <v>0</v>
      </c>
      <c r="E63" s="395">
        <f t="shared" si="9"/>
        <v>0</v>
      </c>
      <c r="F63" s="395">
        <f t="shared" si="9"/>
        <v>0</v>
      </c>
      <c r="G63" s="395">
        <f t="shared" si="9"/>
        <v>0</v>
      </c>
      <c r="H63" s="395">
        <f t="shared" si="9"/>
        <v>0</v>
      </c>
      <c r="I63" s="395">
        <f t="shared" si="9"/>
        <v>0</v>
      </c>
      <c r="J63" s="395">
        <f t="shared" si="9"/>
        <v>0</v>
      </c>
      <c r="K63" s="395">
        <f t="shared" si="9"/>
        <v>2</v>
      </c>
      <c r="L63" s="396">
        <f t="shared" si="9"/>
        <v>80</v>
      </c>
    </row>
    <row r="64" spans="1:12">
      <c r="A64" s="1778" t="s">
        <v>3544</v>
      </c>
      <c r="B64" s="1775" t="s">
        <v>3052</v>
      </c>
      <c r="C64" s="1777" t="s">
        <v>3067</v>
      </c>
      <c r="D64" s="1740"/>
      <c r="E64" s="1744" t="s">
        <v>3068</v>
      </c>
      <c r="F64" s="1745"/>
      <c r="G64" s="1739" t="s">
        <v>3069</v>
      </c>
      <c r="H64" s="1740"/>
      <c r="I64" s="1739" t="s">
        <v>3070</v>
      </c>
      <c r="J64" s="1740"/>
      <c r="K64" s="1739" t="s">
        <v>3057</v>
      </c>
      <c r="L64" s="1749"/>
    </row>
    <row r="65" spans="1:12" ht="24.75" thickBot="1">
      <c r="A65" s="1779"/>
      <c r="B65" s="1776"/>
      <c r="C65" s="383" t="s">
        <v>3058</v>
      </c>
      <c r="D65" s="384" t="s">
        <v>3059</v>
      </c>
      <c r="E65" s="383" t="s">
        <v>3058</v>
      </c>
      <c r="F65" s="384" t="s">
        <v>3059</v>
      </c>
      <c r="G65" s="383" t="s">
        <v>3058</v>
      </c>
      <c r="H65" s="384" t="s">
        <v>3059</v>
      </c>
      <c r="I65" s="383" t="s">
        <v>3058</v>
      </c>
      <c r="J65" s="384" t="s">
        <v>3059</v>
      </c>
      <c r="K65" s="383" t="s">
        <v>3058</v>
      </c>
      <c r="L65" s="385" t="s">
        <v>3059</v>
      </c>
    </row>
    <row r="66" spans="1:12">
      <c r="A66" s="386">
        <v>1</v>
      </c>
      <c r="B66" s="387" t="s">
        <v>3060</v>
      </c>
      <c r="C66" s="564">
        <v>0</v>
      </c>
      <c r="D66" s="564">
        <v>0</v>
      </c>
      <c r="E66" s="388">
        <v>0</v>
      </c>
      <c r="F66" s="388">
        <v>0</v>
      </c>
      <c r="G66" s="561">
        <v>0</v>
      </c>
      <c r="H66" s="561">
        <v>0</v>
      </c>
      <c r="I66" s="561">
        <f>C66+E66+G66</f>
        <v>0</v>
      </c>
      <c r="J66" s="561">
        <f>D66+F66+H66</f>
        <v>0</v>
      </c>
      <c r="K66" s="561">
        <f>K61+I66</f>
        <v>2</v>
      </c>
      <c r="L66" s="390">
        <f>L61+J66</f>
        <v>80</v>
      </c>
    </row>
    <row r="67" spans="1:12">
      <c r="A67" s="391">
        <v>2</v>
      </c>
      <c r="B67" s="392" t="s">
        <v>3061</v>
      </c>
      <c r="C67" s="565">
        <v>0</v>
      </c>
      <c r="D67" s="393">
        <v>0</v>
      </c>
      <c r="E67" s="393">
        <v>0</v>
      </c>
      <c r="F67" s="393">
        <v>0</v>
      </c>
      <c r="G67" s="562">
        <v>0</v>
      </c>
      <c r="H67" s="562">
        <v>0</v>
      </c>
      <c r="I67" s="561">
        <f>C67+E67+G67</f>
        <v>0</v>
      </c>
      <c r="J67" s="561">
        <f>D67+F67+H67</f>
        <v>0</v>
      </c>
      <c r="K67" s="562">
        <f>K62+I67</f>
        <v>0</v>
      </c>
      <c r="L67" s="563">
        <f>L62+J67</f>
        <v>0</v>
      </c>
    </row>
    <row r="68" spans="1:12" ht="15" thickBot="1">
      <c r="A68" s="1737" t="s">
        <v>3062</v>
      </c>
      <c r="B68" s="1738"/>
      <c r="C68" s="395">
        <f t="shared" ref="C68:L68" si="10">SUM(C66:C67)</f>
        <v>0</v>
      </c>
      <c r="D68" s="395">
        <f t="shared" si="10"/>
        <v>0</v>
      </c>
      <c r="E68" s="395">
        <f t="shared" si="10"/>
        <v>0</v>
      </c>
      <c r="F68" s="395">
        <f t="shared" si="10"/>
        <v>0</v>
      </c>
      <c r="G68" s="395">
        <f t="shared" si="10"/>
        <v>0</v>
      </c>
      <c r="H68" s="395">
        <f t="shared" si="10"/>
        <v>0</v>
      </c>
      <c r="I68" s="395">
        <f t="shared" si="10"/>
        <v>0</v>
      </c>
      <c r="J68" s="395">
        <f t="shared" si="10"/>
        <v>0</v>
      </c>
      <c r="K68" s="395">
        <f t="shared" si="10"/>
        <v>2</v>
      </c>
      <c r="L68" s="396">
        <f t="shared" si="10"/>
        <v>80</v>
      </c>
    </row>
    <row r="69" spans="1:12">
      <c r="A69" s="1778" t="s">
        <v>3544</v>
      </c>
      <c r="B69" s="1775" t="s">
        <v>3052</v>
      </c>
      <c r="C69" s="1777" t="s">
        <v>3071</v>
      </c>
      <c r="D69" s="1740"/>
      <c r="E69" s="1744" t="s">
        <v>3072</v>
      </c>
      <c r="F69" s="1745"/>
      <c r="G69" s="1739" t="s">
        <v>3073</v>
      </c>
      <c r="H69" s="1740"/>
      <c r="I69" s="1739" t="s">
        <v>3074</v>
      </c>
      <c r="J69" s="1740"/>
      <c r="K69" s="1739" t="s">
        <v>3057</v>
      </c>
      <c r="L69" s="1749"/>
    </row>
    <row r="70" spans="1:12" ht="24.75" thickBot="1">
      <c r="A70" s="1779"/>
      <c r="B70" s="1776"/>
      <c r="C70" s="383" t="s">
        <v>3058</v>
      </c>
      <c r="D70" s="384" t="s">
        <v>3059</v>
      </c>
      <c r="E70" s="383" t="s">
        <v>3058</v>
      </c>
      <c r="F70" s="384" t="s">
        <v>3059</v>
      </c>
      <c r="G70" s="383" t="s">
        <v>3058</v>
      </c>
      <c r="H70" s="384" t="s">
        <v>3059</v>
      </c>
      <c r="I70" s="383" t="s">
        <v>3058</v>
      </c>
      <c r="J70" s="384" t="s">
        <v>3059</v>
      </c>
      <c r="K70" s="383" t="s">
        <v>3058</v>
      </c>
      <c r="L70" s="385" t="s">
        <v>3059</v>
      </c>
    </row>
    <row r="71" spans="1:12">
      <c r="A71" s="386">
        <v>1</v>
      </c>
      <c r="B71" s="387" t="s">
        <v>3060</v>
      </c>
      <c r="C71" s="388">
        <v>0</v>
      </c>
      <c r="D71" s="388">
        <v>0</v>
      </c>
      <c r="E71" s="388">
        <v>0</v>
      </c>
      <c r="F71" s="388">
        <v>0</v>
      </c>
      <c r="G71" s="561">
        <v>0</v>
      </c>
      <c r="H71" s="561">
        <v>0</v>
      </c>
      <c r="I71" s="561">
        <f>C71+E71+G71</f>
        <v>0</v>
      </c>
      <c r="J71" s="561">
        <f>D71+F71+H71</f>
        <v>0</v>
      </c>
      <c r="K71" s="561">
        <f>K66+I71</f>
        <v>2</v>
      </c>
      <c r="L71" s="390">
        <f>L66+J71</f>
        <v>80</v>
      </c>
    </row>
    <row r="72" spans="1:12">
      <c r="A72" s="391">
        <v>2</v>
      </c>
      <c r="B72" s="392" t="s">
        <v>3061</v>
      </c>
      <c r="C72" s="393">
        <v>0</v>
      </c>
      <c r="D72" s="393">
        <v>0</v>
      </c>
      <c r="E72" s="393">
        <v>0</v>
      </c>
      <c r="F72" s="393">
        <v>0</v>
      </c>
      <c r="G72" s="562">
        <v>0</v>
      </c>
      <c r="H72" s="562">
        <v>0</v>
      </c>
      <c r="I72" s="561">
        <f>C72+E72+G72</f>
        <v>0</v>
      </c>
      <c r="J72" s="561">
        <f>D72+F72+H72</f>
        <v>0</v>
      </c>
      <c r="K72" s="562">
        <f>K67+I72</f>
        <v>0</v>
      </c>
      <c r="L72" s="563">
        <f>L67+J72</f>
        <v>0</v>
      </c>
    </row>
    <row r="73" spans="1:12" ht="15" thickBot="1">
      <c r="A73" s="1737" t="s">
        <v>3062</v>
      </c>
      <c r="B73" s="1738"/>
      <c r="C73" s="399">
        <f t="shared" ref="C73:L73" si="11">SUM(C71:C72)</f>
        <v>0</v>
      </c>
      <c r="D73" s="399">
        <f t="shared" si="11"/>
        <v>0</v>
      </c>
      <c r="E73" s="399">
        <f t="shared" si="11"/>
        <v>0</v>
      </c>
      <c r="F73" s="399">
        <f t="shared" si="11"/>
        <v>0</v>
      </c>
      <c r="G73" s="399">
        <f t="shared" si="11"/>
        <v>0</v>
      </c>
      <c r="H73" s="399">
        <f t="shared" si="11"/>
        <v>0</v>
      </c>
      <c r="I73" s="399">
        <f t="shared" si="11"/>
        <v>0</v>
      </c>
      <c r="J73" s="399">
        <f t="shared" si="11"/>
        <v>0</v>
      </c>
      <c r="K73" s="399">
        <f t="shared" si="11"/>
        <v>2</v>
      </c>
      <c r="L73" s="400">
        <f t="shared" si="11"/>
        <v>80</v>
      </c>
    </row>
    <row r="76" spans="1:12">
      <c r="A76" s="1651" t="s">
        <v>3690</v>
      </c>
      <c r="B76" s="1651"/>
      <c r="C76" s="1651"/>
      <c r="D76" s="1651"/>
      <c r="E76" s="1651"/>
      <c r="F76" s="1651"/>
      <c r="G76" s="1651"/>
      <c r="H76" s="1651"/>
      <c r="I76" s="1651"/>
      <c r="J76" s="1651"/>
      <c r="K76" s="1651"/>
      <c r="L76" s="1651"/>
    </row>
    <row r="77" spans="1:12" ht="15" thickBot="1"/>
    <row r="78" spans="1:12">
      <c r="A78" s="1778" t="s">
        <v>3544</v>
      </c>
      <c r="B78" s="1775" t="s">
        <v>3052</v>
      </c>
      <c r="C78" s="1777" t="s">
        <v>3053</v>
      </c>
      <c r="D78" s="1740"/>
      <c r="E78" s="1744" t="s">
        <v>3054</v>
      </c>
      <c r="F78" s="1745"/>
      <c r="G78" s="1739" t="s">
        <v>3055</v>
      </c>
      <c r="H78" s="1740"/>
      <c r="I78" s="1739" t="s">
        <v>3056</v>
      </c>
      <c r="J78" s="1740"/>
      <c r="K78" s="1739" t="s">
        <v>3057</v>
      </c>
      <c r="L78" s="1749"/>
    </row>
    <row r="79" spans="1:12" ht="24.75" thickBot="1">
      <c r="A79" s="1779"/>
      <c r="B79" s="1776"/>
      <c r="C79" s="383" t="s">
        <v>3058</v>
      </c>
      <c r="D79" s="384" t="s">
        <v>3059</v>
      </c>
      <c r="E79" s="383" t="s">
        <v>3058</v>
      </c>
      <c r="F79" s="384" t="s">
        <v>3059</v>
      </c>
      <c r="G79" s="383" t="s">
        <v>3058</v>
      </c>
      <c r="H79" s="384" t="s">
        <v>3059</v>
      </c>
      <c r="I79" s="383" t="s">
        <v>3058</v>
      </c>
      <c r="J79" s="384" t="s">
        <v>3059</v>
      </c>
      <c r="K79" s="383" t="s">
        <v>3058</v>
      </c>
      <c r="L79" s="385" t="s">
        <v>3059</v>
      </c>
    </row>
    <row r="80" spans="1:12">
      <c r="A80" s="386">
        <v>1</v>
      </c>
      <c r="B80" s="387" t="s">
        <v>3060</v>
      </c>
      <c r="C80" s="388">
        <v>0</v>
      </c>
      <c r="D80" s="388">
        <v>0</v>
      </c>
      <c r="E80" s="388">
        <v>0</v>
      </c>
      <c r="F80" s="388">
        <v>0</v>
      </c>
      <c r="G80" s="561">
        <v>0</v>
      </c>
      <c r="H80" s="561">
        <v>0</v>
      </c>
      <c r="I80" s="561">
        <f>C80+E80+G80</f>
        <v>0</v>
      </c>
      <c r="J80" s="561">
        <f>D80+F80+H80</f>
        <v>0</v>
      </c>
      <c r="K80" s="561">
        <f>I80</f>
        <v>0</v>
      </c>
      <c r="L80" s="390">
        <f>J80</f>
        <v>0</v>
      </c>
    </row>
    <row r="81" spans="1:12">
      <c r="A81" s="391">
        <v>2</v>
      </c>
      <c r="B81" s="392" t="s">
        <v>3061</v>
      </c>
      <c r="C81" s="393">
        <v>0</v>
      </c>
      <c r="D81" s="393">
        <v>0</v>
      </c>
      <c r="E81" s="393">
        <v>0</v>
      </c>
      <c r="F81" s="393">
        <v>0</v>
      </c>
      <c r="G81" s="562">
        <v>0</v>
      </c>
      <c r="H81" s="562">
        <v>0</v>
      </c>
      <c r="I81" s="561">
        <f>C81+E81+G81</f>
        <v>0</v>
      </c>
      <c r="J81" s="561">
        <f>D81+F81+H81</f>
        <v>0</v>
      </c>
      <c r="K81" s="561">
        <f>I81</f>
        <v>0</v>
      </c>
      <c r="L81" s="390">
        <f>J81</f>
        <v>0</v>
      </c>
    </row>
    <row r="82" spans="1:12" ht="15" thickBot="1">
      <c r="A82" s="1737" t="s">
        <v>3062</v>
      </c>
      <c r="B82" s="1738"/>
      <c r="C82" s="395">
        <f t="shared" ref="C82:L82" si="12">SUM(C80:C81)</f>
        <v>0</v>
      </c>
      <c r="D82" s="395">
        <f t="shared" si="12"/>
        <v>0</v>
      </c>
      <c r="E82" s="395">
        <f t="shared" si="12"/>
        <v>0</v>
      </c>
      <c r="F82" s="395">
        <f t="shared" si="12"/>
        <v>0</v>
      </c>
      <c r="G82" s="395">
        <f t="shared" si="12"/>
        <v>0</v>
      </c>
      <c r="H82" s="395">
        <f t="shared" si="12"/>
        <v>0</v>
      </c>
      <c r="I82" s="395">
        <f t="shared" si="12"/>
        <v>0</v>
      </c>
      <c r="J82" s="395">
        <f t="shared" si="12"/>
        <v>0</v>
      </c>
      <c r="K82" s="395">
        <f t="shared" si="12"/>
        <v>0</v>
      </c>
      <c r="L82" s="396">
        <f t="shared" si="12"/>
        <v>0</v>
      </c>
    </row>
    <row r="83" spans="1:12">
      <c r="A83" s="1778" t="s">
        <v>3544</v>
      </c>
      <c r="B83" s="1775" t="s">
        <v>3052</v>
      </c>
      <c r="C83" s="1777" t="s">
        <v>3063</v>
      </c>
      <c r="D83" s="1740"/>
      <c r="E83" s="1744" t="s">
        <v>3064</v>
      </c>
      <c r="F83" s="1745"/>
      <c r="G83" s="1739" t="s">
        <v>3065</v>
      </c>
      <c r="H83" s="1740"/>
      <c r="I83" s="1739" t="s">
        <v>3066</v>
      </c>
      <c r="J83" s="1740"/>
      <c r="K83" s="1739" t="s">
        <v>3057</v>
      </c>
      <c r="L83" s="1749"/>
    </row>
    <row r="84" spans="1:12" ht="24.75" thickBot="1">
      <c r="A84" s="1779"/>
      <c r="B84" s="1776"/>
      <c r="C84" s="383" t="s">
        <v>3058</v>
      </c>
      <c r="D84" s="384" t="s">
        <v>3059</v>
      </c>
      <c r="E84" s="383" t="s">
        <v>3058</v>
      </c>
      <c r="F84" s="384" t="s">
        <v>3059</v>
      </c>
      <c r="G84" s="383" t="s">
        <v>3058</v>
      </c>
      <c r="H84" s="384" t="s">
        <v>3059</v>
      </c>
      <c r="I84" s="383" t="s">
        <v>3058</v>
      </c>
      <c r="J84" s="384" t="s">
        <v>3059</v>
      </c>
      <c r="K84" s="383" t="s">
        <v>3058</v>
      </c>
      <c r="L84" s="385" t="s">
        <v>3059</v>
      </c>
    </row>
    <row r="85" spans="1:12">
      <c r="A85" s="386">
        <v>1</v>
      </c>
      <c r="B85" s="387" t="s">
        <v>3060</v>
      </c>
      <c r="C85" s="388">
        <v>0</v>
      </c>
      <c r="D85" s="388">
        <v>0</v>
      </c>
      <c r="E85" s="388">
        <v>0</v>
      </c>
      <c r="F85" s="388">
        <v>0</v>
      </c>
      <c r="G85" s="561">
        <v>0</v>
      </c>
      <c r="H85" s="561">
        <v>0</v>
      </c>
      <c r="I85" s="561">
        <f>C85+E85+G85</f>
        <v>0</v>
      </c>
      <c r="J85" s="561">
        <f>D85+F85+H85</f>
        <v>0</v>
      </c>
      <c r="K85" s="561">
        <f>K80+I85</f>
        <v>0</v>
      </c>
      <c r="L85" s="390">
        <f>L80+J85</f>
        <v>0</v>
      </c>
    </row>
    <row r="86" spans="1:12">
      <c r="A86" s="391">
        <v>2</v>
      </c>
      <c r="B86" s="392" t="s">
        <v>3061</v>
      </c>
      <c r="C86" s="393">
        <v>0</v>
      </c>
      <c r="D86" s="393">
        <v>0</v>
      </c>
      <c r="E86" s="393">
        <v>0</v>
      </c>
      <c r="F86" s="393">
        <v>0</v>
      </c>
      <c r="G86" s="562">
        <v>0</v>
      </c>
      <c r="H86" s="562">
        <v>0</v>
      </c>
      <c r="I86" s="561">
        <f>C86+E86+G86</f>
        <v>0</v>
      </c>
      <c r="J86" s="561">
        <f>D86+F86+H86</f>
        <v>0</v>
      </c>
      <c r="K86" s="562">
        <f>K81+I86</f>
        <v>0</v>
      </c>
      <c r="L86" s="563">
        <f>L81+J86</f>
        <v>0</v>
      </c>
    </row>
    <row r="87" spans="1:12" ht="15" thickBot="1">
      <c r="A87" s="1737" t="s">
        <v>3062</v>
      </c>
      <c r="B87" s="1738"/>
      <c r="C87" s="395">
        <f t="shared" ref="C87:L87" si="13">SUM(C85:C86)</f>
        <v>0</v>
      </c>
      <c r="D87" s="395">
        <f t="shared" si="13"/>
        <v>0</v>
      </c>
      <c r="E87" s="395">
        <f t="shared" si="13"/>
        <v>0</v>
      </c>
      <c r="F87" s="395">
        <f t="shared" si="13"/>
        <v>0</v>
      </c>
      <c r="G87" s="395">
        <f t="shared" si="13"/>
        <v>0</v>
      </c>
      <c r="H87" s="395">
        <f t="shared" si="13"/>
        <v>0</v>
      </c>
      <c r="I87" s="395">
        <f t="shared" si="13"/>
        <v>0</v>
      </c>
      <c r="J87" s="395">
        <f t="shared" si="13"/>
        <v>0</v>
      </c>
      <c r="K87" s="395">
        <f t="shared" si="13"/>
        <v>0</v>
      </c>
      <c r="L87" s="396">
        <f t="shared" si="13"/>
        <v>0</v>
      </c>
    </row>
    <row r="88" spans="1:12">
      <c r="A88" s="1778" t="s">
        <v>3544</v>
      </c>
      <c r="B88" s="1775" t="s">
        <v>3052</v>
      </c>
      <c r="C88" s="1777" t="s">
        <v>3067</v>
      </c>
      <c r="D88" s="1740"/>
      <c r="E88" s="1744" t="s">
        <v>3068</v>
      </c>
      <c r="F88" s="1745"/>
      <c r="G88" s="1739" t="s">
        <v>3069</v>
      </c>
      <c r="H88" s="1740"/>
      <c r="I88" s="1739" t="s">
        <v>3070</v>
      </c>
      <c r="J88" s="1740"/>
      <c r="K88" s="1739" t="s">
        <v>3057</v>
      </c>
      <c r="L88" s="1749"/>
    </row>
    <row r="89" spans="1:12" ht="24.75" thickBot="1">
      <c r="A89" s="1779"/>
      <c r="B89" s="1776"/>
      <c r="C89" s="383" t="s">
        <v>3058</v>
      </c>
      <c r="D89" s="384" t="s">
        <v>3059</v>
      </c>
      <c r="E89" s="383" t="s">
        <v>3058</v>
      </c>
      <c r="F89" s="384" t="s">
        <v>3059</v>
      </c>
      <c r="G89" s="383" t="s">
        <v>3058</v>
      </c>
      <c r="H89" s="384" t="s">
        <v>3059</v>
      </c>
      <c r="I89" s="383" t="s">
        <v>3058</v>
      </c>
      <c r="J89" s="384" t="s">
        <v>3059</v>
      </c>
      <c r="K89" s="383" t="s">
        <v>3058</v>
      </c>
      <c r="L89" s="385" t="s">
        <v>3059</v>
      </c>
    </row>
    <row r="90" spans="1:12">
      <c r="A90" s="386">
        <v>1</v>
      </c>
      <c r="B90" s="387" t="s">
        <v>3060</v>
      </c>
      <c r="C90" s="564">
        <v>0</v>
      </c>
      <c r="D90" s="564">
        <v>0</v>
      </c>
      <c r="E90" s="388">
        <v>0</v>
      </c>
      <c r="F90" s="388">
        <v>0</v>
      </c>
      <c r="G90" s="561">
        <v>0</v>
      </c>
      <c r="H90" s="561">
        <v>0</v>
      </c>
      <c r="I90" s="561">
        <f>C90+E90+G90</f>
        <v>0</v>
      </c>
      <c r="J90" s="561">
        <f>D90+F90+H90</f>
        <v>0</v>
      </c>
      <c r="K90" s="561">
        <f>K85+I90</f>
        <v>0</v>
      </c>
      <c r="L90" s="390">
        <f>L85+J90</f>
        <v>0</v>
      </c>
    </row>
    <row r="91" spans="1:12">
      <c r="A91" s="391">
        <v>2</v>
      </c>
      <c r="B91" s="392" t="s">
        <v>3061</v>
      </c>
      <c r="C91" s="565">
        <v>0</v>
      </c>
      <c r="D91" s="393">
        <v>0</v>
      </c>
      <c r="E91" s="393">
        <v>0</v>
      </c>
      <c r="F91" s="393">
        <v>0</v>
      </c>
      <c r="G91" s="562">
        <v>0</v>
      </c>
      <c r="H91" s="562">
        <v>0</v>
      </c>
      <c r="I91" s="561">
        <f>C91+E91+G91</f>
        <v>0</v>
      </c>
      <c r="J91" s="561">
        <f>D91+F91+H91</f>
        <v>0</v>
      </c>
      <c r="K91" s="562">
        <f>K86+I91</f>
        <v>0</v>
      </c>
      <c r="L91" s="563">
        <f>L86+J91</f>
        <v>0</v>
      </c>
    </row>
    <row r="92" spans="1:12" ht="15" thickBot="1">
      <c r="A92" s="1737" t="s">
        <v>3062</v>
      </c>
      <c r="B92" s="1738"/>
      <c r="C92" s="395">
        <f t="shared" ref="C92:L92" si="14">SUM(C90:C91)</f>
        <v>0</v>
      </c>
      <c r="D92" s="395">
        <f t="shared" si="14"/>
        <v>0</v>
      </c>
      <c r="E92" s="395">
        <f t="shared" si="14"/>
        <v>0</v>
      </c>
      <c r="F92" s="395">
        <f t="shared" si="14"/>
        <v>0</v>
      </c>
      <c r="G92" s="395">
        <f t="shared" si="14"/>
        <v>0</v>
      </c>
      <c r="H92" s="395">
        <f t="shared" si="14"/>
        <v>0</v>
      </c>
      <c r="I92" s="395">
        <f t="shared" si="14"/>
        <v>0</v>
      </c>
      <c r="J92" s="395">
        <f t="shared" si="14"/>
        <v>0</v>
      </c>
      <c r="K92" s="395">
        <f t="shared" si="14"/>
        <v>0</v>
      </c>
      <c r="L92" s="396">
        <f t="shared" si="14"/>
        <v>0</v>
      </c>
    </row>
    <row r="93" spans="1:12">
      <c r="A93" s="1778" t="s">
        <v>3544</v>
      </c>
      <c r="B93" s="1775" t="s">
        <v>3052</v>
      </c>
      <c r="C93" s="1777" t="s">
        <v>3071</v>
      </c>
      <c r="D93" s="1740"/>
      <c r="E93" s="1744" t="s">
        <v>3072</v>
      </c>
      <c r="F93" s="1745"/>
      <c r="G93" s="1739" t="s">
        <v>3073</v>
      </c>
      <c r="H93" s="1740"/>
      <c r="I93" s="1739" t="s">
        <v>3074</v>
      </c>
      <c r="J93" s="1740"/>
      <c r="K93" s="1739" t="s">
        <v>3057</v>
      </c>
      <c r="L93" s="1749"/>
    </row>
    <row r="94" spans="1:12" ht="24.75" thickBot="1">
      <c r="A94" s="1779"/>
      <c r="B94" s="1776"/>
      <c r="C94" s="383" t="s">
        <v>3058</v>
      </c>
      <c r="D94" s="384" t="s">
        <v>3059</v>
      </c>
      <c r="E94" s="383" t="s">
        <v>3058</v>
      </c>
      <c r="F94" s="384" t="s">
        <v>3059</v>
      </c>
      <c r="G94" s="383" t="s">
        <v>3058</v>
      </c>
      <c r="H94" s="384" t="s">
        <v>3059</v>
      </c>
      <c r="I94" s="383" t="s">
        <v>3058</v>
      </c>
      <c r="J94" s="384" t="s">
        <v>3059</v>
      </c>
      <c r="K94" s="383" t="s">
        <v>3058</v>
      </c>
      <c r="L94" s="385" t="s">
        <v>3059</v>
      </c>
    </row>
    <row r="95" spans="1:12">
      <c r="A95" s="386">
        <v>1</v>
      </c>
      <c r="B95" s="387" t="s">
        <v>3060</v>
      </c>
      <c r="C95" s="388">
        <v>0</v>
      </c>
      <c r="D95" s="388">
        <v>0</v>
      </c>
      <c r="E95" s="388">
        <v>0</v>
      </c>
      <c r="F95" s="388">
        <v>0</v>
      </c>
      <c r="G95" s="561">
        <v>0</v>
      </c>
      <c r="H95" s="561">
        <v>0</v>
      </c>
      <c r="I95" s="561">
        <f>C95+E95+G95</f>
        <v>0</v>
      </c>
      <c r="J95" s="561">
        <f>D95+F95+H95</f>
        <v>0</v>
      </c>
      <c r="K95" s="561">
        <f>K90+I95</f>
        <v>0</v>
      </c>
      <c r="L95" s="390">
        <f>L90+J95</f>
        <v>0</v>
      </c>
    </row>
    <row r="96" spans="1:12">
      <c r="A96" s="391">
        <v>2</v>
      </c>
      <c r="B96" s="392" t="s">
        <v>3061</v>
      </c>
      <c r="C96" s="393">
        <v>0</v>
      </c>
      <c r="D96" s="393">
        <v>0</v>
      </c>
      <c r="E96" s="393">
        <v>0</v>
      </c>
      <c r="F96" s="393">
        <v>0</v>
      </c>
      <c r="G96" s="562">
        <v>0</v>
      </c>
      <c r="H96" s="562">
        <v>0</v>
      </c>
      <c r="I96" s="561">
        <f>C96+E96+G96</f>
        <v>0</v>
      </c>
      <c r="J96" s="561">
        <f>D96+F96+H96</f>
        <v>0</v>
      </c>
      <c r="K96" s="562">
        <f>K91+I96</f>
        <v>0</v>
      </c>
      <c r="L96" s="563">
        <f>L91+J96</f>
        <v>0</v>
      </c>
    </row>
    <row r="97" spans="1:12" ht="15" thickBot="1">
      <c r="A97" s="1737" t="s">
        <v>3062</v>
      </c>
      <c r="B97" s="1738"/>
      <c r="C97" s="399">
        <f t="shared" ref="C97:L97" si="15">SUM(C95:C96)</f>
        <v>0</v>
      </c>
      <c r="D97" s="399">
        <f t="shared" si="15"/>
        <v>0</v>
      </c>
      <c r="E97" s="399">
        <f t="shared" si="15"/>
        <v>0</v>
      </c>
      <c r="F97" s="399">
        <f t="shared" si="15"/>
        <v>0</v>
      </c>
      <c r="G97" s="399">
        <f t="shared" si="15"/>
        <v>0</v>
      </c>
      <c r="H97" s="399">
        <f t="shared" si="15"/>
        <v>0</v>
      </c>
      <c r="I97" s="399">
        <f t="shared" si="15"/>
        <v>0</v>
      </c>
      <c r="J97" s="399">
        <f t="shared" si="15"/>
        <v>0</v>
      </c>
      <c r="K97" s="399">
        <f t="shared" si="15"/>
        <v>0</v>
      </c>
      <c r="L97" s="400">
        <f t="shared" si="15"/>
        <v>0</v>
      </c>
    </row>
    <row r="100" spans="1:12">
      <c r="A100" s="1651" t="s">
        <v>3691</v>
      </c>
      <c r="B100" s="1651"/>
      <c r="C100" s="1651"/>
      <c r="D100" s="1651"/>
      <c r="E100" s="1651"/>
      <c r="F100" s="1651"/>
      <c r="G100" s="1651"/>
      <c r="H100" s="1651"/>
      <c r="I100" s="1651"/>
      <c r="J100" s="1651"/>
      <c r="K100" s="1651"/>
      <c r="L100" s="1651"/>
    </row>
    <row r="101" spans="1:12" ht="15" thickBot="1"/>
    <row r="102" spans="1:12">
      <c r="A102" s="1778" t="s">
        <v>3544</v>
      </c>
      <c r="B102" s="1775" t="s">
        <v>3052</v>
      </c>
      <c r="C102" s="1777" t="s">
        <v>3053</v>
      </c>
      <c r="D102" s="1740"/>
      <c r="E102" s="1744" t="s">
        <v>3054</v>
      </c>
      <c r="F102" s="1745"/>
      <c r="G102" s="1739" t="s">
        <v>3055</v>
      </c>
      <c r="H102" s="1740"/>
      <c r="I102" s="1739" t="s">
        <v>3056</v>
      </c>
      <c r="J102" s="1740"/>
      <c r="K102" s="1739" t="s">
        <v>3057</v>
      </c>
      <c r="L102" s="1749"/>
    </row>
    <row r="103" spans="1:12" ht="24.75" thickBot="1">
      <c r="A103" s="1779"/>
      <c r="B103" s="1776"/>
      <c r="C103" s="383" t="s">
        <v>3058</v>
      </c>
      <c r="D103" s="384" t="s">
        <v>3059</v>
      </c>
      <c r="E103" s="383" t="s">
        <v>3058</v>
      </c>
      <c r="F103" s="384" t="s">
        <v>3059</v>
      </c>
      <c r="G103" s="383" t="s">
        <v>3058</v>
      </c>
      <c r="H103" s="384" t="s">
        <v>3059</v>
      </c>
      <c r="I103" s="383" t="s">
        <v>3058</v>
      </c>
      <c r="J103" s="384" t="s">
        <v>3059</v>
      </c>
      <c r="K103" s="383" t="s">
        <v>3058</v>
      </c>
      <c r="L103" s="385" t="s">
        <v>3059</v>
      </c>
    </row>
    <row r="104" spans="1:12">
      <c r="A104" s="386">
        <v>1</v>
      </c>
      <c r="B104" s="387" t="s">
        <v>3060</v>
      </c>
      <c r="C104" s="388">
        <v>0</v>
      </c>
      <c r="D104" s="388">
        <v>0</v>
      </c>
      <c r="E104" s="388">
        <v>0</v>
      </c>
      <c r="F104" s="388">
        <v>0</v>
      </c>
      <c r="G104" s="561">
        <v>0</v>
      </c>
      <c r="H104" s="561">
        <v>0</v>
      </c>
      <c r="I104" s="561">
        <f>C104+E104+G104</f>
        <v>0</v>
      </c>
      <c r="J104" s="561">
        <f>D104+F104+H104</f>
        <v>0</v>
      </c>
      <c r="K104" s="561">
        <f>I104</f>
        <v>0</v>
      </c>
      <c r="L104" s="390">
        <f>J104</f>
        <v>0</v>
      </c>
    </row>
    <row r="105" spans="1:12">
      <c r="A105" s="391">
        <v>2</v>
      </c>
      <c r="B105" s="392" t="s">
        <v>3061</v>
      </c>
      <c r="C105" s="393">
        <v>0</v>
      </c>
      <c r="D105" s="393">
        <v>0</v>
      </c>
      <c r="E105" s="393">
        <v>0</v>
      </c>
      <c r="F105" s="393">
        <v>0</v>
      </c>
      <c r="G105" s="562">
        <v>0</v>
      </c>
      <c r="H105" s="562">
        <v>0</v>
      </c>
      <c r="I105" s="561">
        <f>C105+E105+G105</f>
        <v>0</v>
      </c>
      <c r="J105" s="561">
        <f>D105+F105+H105</f>
        <v>0</v>
      </c>
      <c r="K105" s="561">
        <f>I105</f>
        <v>0</v>
      </c>
      <c r="L105" s="390">
        <f>J105</f>
        <v>0</v>
      </c>
    </row>
    <row r="106" spans="1:12" ht="15" thickBot="1">
      <c r="A106" s="1737" t="s">
        <v>3062</v>
      </c>
      <c r="B106" s="1738"/>
      <c r="C106" s="395">
        <f t="shared" ref="C106:L106" si="16">SUM(C104:C105)</f>
        <v>0</v>
      </c>
      <c r="D106" s="395">
        <f t="shared" si="16"/>
        <v>0</v>
      </c>
      <c r="E106" s="395">
        <f t="shared" si="16"/>
        <v>0</v>
      </c>
      <c r="F106" s="395">
        <f t="shared" si="16"/>
        <v>0</v>
      </c>
      <c r="G106" s="395">
        <f t="shared" si="16"/>
        <v>0</v>
      </c>
      <c r="H106" s="395">
        <f t="shared" si="16"/>
        <v>0</v>
      </c>
      <c r="I106" s="395">
        <f t="shared" si="16"/>
        <v>0</v>
      </c>
      <c r="J106" s="395">
        <f t="shared" si="16"/>
        <v>0</v>
      </c>
      <c r="K106" s="395">
        <f t="shared" si="16"/>
        <v>0</v>
      </c>
      <c r="L106" s="396">
        <f t="shared" si="16"/>
        <v>0</v>
      </c>
    </row>
    <row r="107" spans="1:12">
      <c r="A107" s="1778" t="s">
        <v>3544</v>
      </c>
      <c r="B107" s="1775" t="s">
        <v>3052</v>
      </c>
      <c r="C107" s="1777" t="s">
        <v>3063</v>
      </c>
      <c r="D107" s="1740"/>
      <c r="E107" s="1744" t="s">
        <v>3064</v>
      </c>
      <c r="F107" s="1745"/>
      <c r="G107" s="1739" t="s">
        <v>3065</v>
      </c>
      <c r="H107" s="1740"/>
      <c r="I107" s="1739" t="s">
        <v>3066</v>
      </c>
      <c r="J107" s="1740"/>
      <c r="K107" s="1739" t="s">
        <v>3057</v>
      </c>
      <c r="L107" s="1749"/>
    </row>
    <row r="108" spans="1:12" ht="24.75" thickBot="1">
      <c r="A108" s="1779"/>
      <c r="B108" s="1776"/>
      <c r="C108" s="383" t="s">
        <v>3058</v>
      </c>
      <c r="D108" s="384" t="s">
        <v>3059</v>
      </c>
      <c r="E108" s="383" t="s">
        <v>3058</v>
      </c>
      <c r="F108" s="384" t="s">
        <v>3059</v>
      </c>
      <c r="G108" s="383" t="s">
        <v>3058</v>
      </c>
      <c r="H108" s="384" t="s">
        <v>3059</v>
      </c>
      <c r="I108" s="383" t="s">
        <v>3058</v>
      </c>
      <c r="J108" s="384" t="s">
        <v>3059</v>
      </c>
      <c r="K108" s="383" t="s">
        <v>3058</v>
      </c>
      <c r="L108" s="385" t="s">
        <v>3059</v>
      </c>
    </row>
    <row r="109" spans="1:12">
      <c r="A109" s="386">
        <v>1</v>
      </c>
      <c r="B109" s="387" t="s">
        <v>3060</v>
      </c>
      <c r="C109" s="388">
        <v>0</v>
      </c>
      <c r="D109" s="388">
        <v>0</v>
      </c>
      <c r="E109" s="388">
        <v>0</v>
      </c>
      <c r="F109" s="388">
        <v>0</v>
      </c>
      <c r="G109" s="561">
        <v>0</v>
      </c>
      <c r="H109" s="561">
        <v>0</v>
      </c>
      <c r="I109" s="561">
        <f>C109+E109+G109</f>
        <v>0</v>
      </c>
      <c r="J109" s="561">
        <f>D109+F109+H109</f>
        <v>0</v>
      </c>
      <c r="K109" s="561">
        <f>K104+I109</f>
        <v>0</v>
      </c>
      <c r="L109" s="390">
        <f>L104+J109</f>
        <v>0</v>
      </c>
    </row>
    <row r="110" spans="1:12">
      <c r="A110" s="391">
        <v>2</v>
      </c>
      <c r="B110" s="392" t="s">
        <v>3061</v>
      </c>
      <c r="C110" s="393">
        <v>0</v>
      </c>
      <c r="D110" s="393">
        <v>0</v>
      </c>
      <c r="E110" s="393">
        <v>0</v>
      </c>
      <c r="F110" s="393">
        <v>0</v>
      </c>
      <c r="G110" s="562">
        <v>0</v>
      </c>
      <c r="H110" s="562">
        <v>0</v>
      </c>
      <c r="I110" s="561">
        <f>C110+E110+G110</f>
        <v>0</v>
      </c>
      <c r="J110" s="561">
        <f>D110+F110+H110</f>
        <v>0</v>
      </c>
      <c r="K110" s="562">
        <f>K105+I110</f>
        <v>0</v>
      </c>
      <c r="L110" s="563">
        <f>L105+J110</f>
        <v>0</v>
      </c>
    </row>
    <row r="111" spans="1:12" ht="15" thickBot="1">
      <c r="A111" s="1737" t="s">
        <v>3062</v>
      </c>
      <c r="B111" s="1738"/>
      <c r="C111" s="395">
        <f t="shared" ref="C111:L111" si="17">SUM(C109:C110)</f>
        <v>0</v>
      </c>
      <c r="D111" s="395">
        <f t="shared" si="17"/>
        <v>0</v>
      </c>
      <c r="E111" s="395">
        <f t="shared" si="17"/>
        <v>0</v>
      </c>
      <c r="F111" s="395">
        <f t="shared" si="17"/>
        <v>0</v>
      </c>
      <c r="G111" s="395">
        <f t="shared" si="17"/>
        <v>0</v>
      </c>
      <c r="H111" s="395">
        <f t="shared" si="17"/>
        <v>0</v>
      </c>
      <c r="I111" s="395">
        <f t="shared" si="17"/>
        <v>0</v>
      </c>
      <c r="J111" s="395">
        <f t="shared" si="17"/>
        <v>0</v>
      </c>
      <c r="K111" s="395">
        <f t="shared" si="17"/>
        <v>0</v>
      </c>
      <c r="L111" s="396">
        <f t="shared" si="17"/>
        <v>0</v>
      </c>
    </row>
    <row r="112" spans="1:12">
      <c r="A112" s="1778" t="s">
        <v>3544</v>
      </c>
      <c r="B112" s="1775" t="s">
        <v>3052</v>
      </c>
      <c r="C112" s="1777" t="s">
        <v>3067</v>
      </c>
      <c r="D112" s="1740"/>
      <c r="E112" s="1744" t="s">
        <v>3068</v>
      </c>
      <c r="F112" s="1745"/>
      <c r="G112" s="1739" t="s">
        <v>3069</v>
      </c>
      <c r="H112" s="1740"/>
      <c r="I112" s="1739" t="s">
        <v>3070</v>
      </c>
      <c r="J112" s="1740"/>
      <c r="K112" s="1739" t="s">
        <v>3057</v>
      </c>
      <c r="L112" s="1749"/>
    </row>
    <row r="113" spans="1:12" ht="24.75" thickBot="1">
      <c r="A113" s="1779"/>
      <c r="B113" s="1776"/>
      <c r="C113" s="383" t="s">
        <v>3058</v>
      </c>
      <c r="D113" s="384" t="s">
        <v>3059</v>
      </c>
      <c r="E113" s="383" t="s">
        <v>3058</v>
      </c>
      <c r="F113" s="384" t="s">
        <v>3059</v>
      </c>
      <c r="G113" s="383" t="s">
        <v>3058</v>
      </c>
      <c r="H113" s="384" t="s">
        <v>3059</v>
      </c>
      <c r="I113" s="383" t="s">
        <v>3058</v>
      </c>
      <c r="J113" s="384" t="s">
        <v>3059</v>
      </c>
      <c r="K113" s="383" t="s">
        <v>3058</v>
      </c>
      <c r="L113" s="385" t="s">
        <v>3059</v>
      </c>
    </row>
    <row r="114" spans="1:12">
      <c r="A114" s="386">
        <v>1</v>
      </c>
      <c r="B114" s="387" t="s">
        <v>3060</v>
      </c>
      <c r="C114" s="564">
        <v>0</v>
      </c>
      <c r="D114" s="564">
        <v>0</v>
      </c>
      <c r="E114" s="388">
        <v>0</v>
      </c>
      <c r="F114" s="388">
        <v>0</v>
      </c>
      <c r="G114" s="561">
        <v>0</v>
      </c>
      <c r="H114" s="561">
        <v>0</v>
      </c>
      <c r="I114" s="561">
        <f>C114+E114+G114</f>
        <v>0</v>
      </c>
      <c r="J114" s="561">
        <f>D114+F114+H114</f>
        <v>0</v>
      </c>
      <c r="K114" s="561">
        <f>K109+I114</f>
        <v>0</v>
      </c>
      <c r="L114" s="390">
        <f>L109+J114</f>
        <v>0</v>
      </c>
    </row>
    <row r="115" spans="1:12">
      <c r="A115" s="391">
        <v>2</v>
      </c>
      <c r="B115" s="392" t="s">
        <v>3061</v>
      </c>
      <c r="C115" s="565">
        <v>0</v>
      </c>
      <c r="D115" s="393">
        <v>0</v>
      </c>
      <c r="E115" s="393">
        <v>0</v>
      </c>
      <c r="F115" s="393">
        <v>0</v>
      </c>
      <c r="G115" s="562">
        <v>0</v>
      </c>
      <c r="H115" s="562">
        <v>0</v>
      </c>
      <c r="I115" s="561">
        <f>C115+E115+G115</f>
        <v>0</v>
      </c>
      <c r="J115" s="561">
        <f>D115+F115+H115</f>
        <v>0</v>
      </c>
      <c r="K115" s="562">
        <f>K110+I115</f>
        <v>0</v>
      </c>
      <c r="L115" s="563">
        <f>L110+J115</f>
        <v>0</v>
      </c>
    </row>
    <row r="116" spans="1:12" ht="15" thickBot="1">
      <c r="A116" s="1737" t="s">
        <v>3062</v>
      </c>
      <c r="B116" s="1738"/>
      <c r="C116" s="395">
        <f t="shared" ref="C116:L116" si="18">SUM(C114:C115)</f>
        <v>0</v>
      </c>
      <c r="D116" s="395">
        <f t="shared" si="18"/>
        <v>0</v>
      </c>
      <c r="E116" s="395">
        <f t="shared" si="18"/>
        <v>0</v>
      </c>
      <c r="F116" s="395">
        <f t="shared" si="18"/>
        <v>0</v>
      </c>
      <c r="G116" s="395">
        <f t="shared" si="18"/>
        <v>0</v>
      </c>
      <c r="H116" s="395">
        <f t="shared" si="18"/>
        <v>0</v>
      </c>
      <c r="I116" s="395">
        <f t="shared" si="18"/>
        <v>0</v>
      </c>
      <c r="J116" s="395">
        <f t="shared" si="18"/>
        <v>0</v>
      </c>
      <c r="K116" s="395">
        <f t="shared" si="18"/>
        <v>0</v>
      </c>
      <c r="L116" s="396">
        <f t="shared" si="18"/>
        <v>0</v>
      </c>
    </row>
    <row r="117" spans="1:12">
      <c r="A117" s="1778" t="s">
        <v>3544</v>
      </c>
      <c r="B117" s="1775" t="s">
        <v>3052</v>
      </c>
      <c r="C117" s="1777" t="s">
        <v>3071</v>
      </c>
      <c r="D117" s="1740"/>
      <c r="E117" s="1744" t="s">
        <v>3072</v>
      </c>
      <c r="F117" s="1745"/>
      <c r="G117" s="1739" t="s">
        <v>3073</v>
      </c>
      <c r="H117" s="1740"/>
      <c r="I117" s="1739" t="s">
        <v>3074</v>
      </c>
      <c r="J117" s="1740"/>
      <c r="K117" s="1739" t="s">
        <v>3057</v>
      </c>
      <c r="L117" s="1749"/>
    </row>
    <row r="118" spans="1:12" ht="24.75" thickBot="1">
      <c r="A118" s="1779"/>
      <c r="B118" s="1776"/>
      <c r="C118" s="383" t="s">
        <v>3058</v>
      </c>
      <c r="D118" s="384" t="s">
        <v>3059</v>
      </c>
      <c r="E118" s="383" t="s">
        <v>3058</v>
      </c>
      <c r="F118" s="384" t="s">
        <v>3059</v>
      </c>
      <c r="G118" s="383" t="s">
        <v>3058</v>
      </c>
      <c r="H118" s="384" t="s">
        <v>3059</v>
      </c>
      <c r="I118" s="383" t="s">
        <v>3058</v>
      </c>
      <c r="J118" s="384" t="s">
        <v>3059</v>
      </c>
      <c r="K118" s="383" t="s">
        <v>3058</v>
      </c>
      <c r="L118" s="385" t="s">
        <v>3059</v>
      </c>
    </row>
    <row r="119" spans="1:12">
      <c r="A119" s="386">
        <v>1</v>
      </c>
      <c r="B119" s="387" t="s">
        <v>3060</v>
      </c>
      <c r="C119" s="388">
        <v>0</v>
      </c>
      <c r="D119" s="388">
        <v>0</v>
      </c>
      <c r="E119" s="388">
        <v>0</v>
      </c>
      <c r="F119" s="388">
        <v>0</v>
      </c>
      <c r="G119" s="561">
        <v>0</v>
      </c>
      <c r="H119" s="561">
        <v>0</v>
      </c>
      <c r="I119" s="561">
        <f>C119+E119+G119</f>
        <v>0</v>
      </c>
      <c r="J119" s="561">
        <f>D119+F119+H119</f>
        <v>0</v>
      </c>
      <c r="K119" s="561">
        <f>K114+I119</f>
        <v>0</v>
      </c>
      <c r="L119" s="390">
        <f>L114+J119</f>
        <v>0</v>
      </c>
    </row>
    <row r="120" spans="1:12">
      <c r="A120" s="391">
        <v>2</v>
      </c>
      <c r="B120" s="392" t="s">
        <v>3061</v>
      </c>
      <c r="C120" s="393">
        <v>0</v>
      </c>
      <c r="D120" s="393">
        <v>0</v>
      </c>
      <c r="E120" s="393">
        <v>0</v>
      </c>
      <c r="F120" s="393">
        <v>0</v>
      </c>
      <c r="G120" s="562">
        <v>0</v>
      </c>
      <c r="H120" s="562">
        <v>0</v>
      </c>
      <c r="I120" s="561">
        <f>C120+E120+G120</f>
        <v>0</v>
      </c>
      <c r="J120" s="561">
        <f>D120+F120+H120</f>
        <v>0</v>
      </c>
      <c r="K120" s="562">
        <f>K115+I120</f>
        <v>0</v>
      </c>
      <c r="L120" s="563">
        <f>L115+J120</f>
        <v>0</v>
      </c>
    </row>
    <row r="121" spans="1:12" ht="15" thickBot="1">
      <c r="A121" s="1737" t="s">
        <v>3062</v>
      </c>
      <c r="B121" s="1738"/>
      <c r="C121" s="399">
        <f t="shared" ref="C121:L121" si="19">SUM(C119:C120)</f>
        <v>0</v>
      </c>
      <c r="D121" s="399">
        <f t="shared" si="19"/>
        <v>0</v>
      </c>
      <c r="E121" s="399">
        <f t="shared" si="19"/>
        <v>0</v>
      </c>
      <c r="F121" s="399">
        <f t="shared" si="19"/>
        <v>0</v>
      </c>
      <c r="G121" s="399">
        <f t="shared" si="19"/>
        <v>0</v>
      </c>
      <c r="H121" s="399">
        <f t="shared" si="19"/>
        <v>0</v>
      </c>
      <c r="I121" s="399">
        <f t="shared" si="19"/>
        <v>0</v>
      </c>
      <c r="J121" s="399">
        <f t="shared" si="19"/>
        <v>0</v>
      </c>
      <c r="K121" s="399">
        <f t="shared" si="19"/>
        <v>0</v>
      </c>
      <c r="L121" s="400">
        <f t="shared" si="19"/>
        <v>0</v>
      </c>
    </row>
    <row r="124" spans="1:12">
      <c r="A124" s="1651" t="s">
        <v>3692</v>
      </c>
      <c r="B124" s="1651"/>
      <c r="C124" s="1651"/>
      <c r="D124" s="1651"/>
      <c r="E124" s="1651"/>
      <c r="F124" s="1651"/>
      <c r="G124" s="1651"/>
      <c r="H124" s="1651"/>
      <c r="I124" s="1651"/>
      <c r="J124" s="1651"/>
      <c r="K124" s="1651"/>
      <c r="L124" s="1651"/>
    </row>
    <row r="125" spans="1:12" ht="15" thickBot="1"/>
    <row r="126" spans="1:12">
      <c r="A126" s="1778" t="s">
        <v>3544</v>
      </c>
      <c r="B126" s="1775" t="s">
        <v>3052</v>
      </c>
      <c r="C126" s="1777" t="s">
        <v>3053</v>
      </c>
      <c r="D126" s="1740"/>
      <c r="E126" s="1744" t="s">
        <v>3054</v>
      </c>
      <c r="F126" s="1745"/>
      <c r="G126" s="1739" t="s">
        <v>3055</v>
      </c>
      <c r="H126" s="1740"/>
      <c r="I126" s="1739" t="s">
        <v>3056</v>
      </c>
      <c r="J126" s="1740"/>
      <c r="K126" s="1739" t="s">
        <v>3057</v>
      </c>
      <c r="L126" s="1749"/>
    </row>
    <row r="127" spans="1:12" ht="24.75" thickBot="1">
      <c r="A127" s="1779"/>
      <c r="B127" s="1776"/>
      <c r="C127" s="383" t="s">
        <v>3058</v>
      </c>
      <c r="D127" s="384" t="s">
        <v>3059</v>
      </c>
      <c r="E127" s="383" t="s">
        <v>3058</v>
      </c>
      <c r="F127" s="384" t="s">
        <v>3059</v>
      </c>
      <c r="G127" s="383" t="s">
        <v>3058</v>
      </c>
      <c r="H127" s="384" t="s">
        <v>3059</v>
      </c>
      <c r="I127" s="383" t="s">
        <v>3058</v>
      </c>
      <c r="J127" s="384" t="s">
        <v>3059</v>
      </c>
      <c r="K127" s="383" t="s">
        <v>3058</v>
      </c>
      <c r="L127" s="385" t="s">
        <v>3059</v>
      </c>
    </row>
    <row r="128" spans="1:12">
      <c r="A128" s="386">
        <v>1</v>
      </c>
      <c r="B128" s="387" t="s">
        <v>3060</v>
      </c>
      <c r="C128" s="388">
        <v>0</v>
      </c>
      <c r="D128" s="388">
        <v>0</v>
      </c>
      <c r="E128" s="388">
        <v>0</v>
      </c>
      <c r="F128" s="388">
        <v>0</v>
      </c>
      <c r="G128" s="561">
        <v>0</v>
      </c>
      <c r="H128" s="561">
        <v>0</v>
      </c>
      <c r="I128" s="561">
        <f>C128+E128+G128</f>
        <v>0</v>
      </c>
      <c r="J128" s="561">
        <f>D128+F128+H128</f>
        <v>0</v>
      </c>
      <c r="K128" s="561">
        <f>I128</f>
        <v>0</v>
      </c>
      <c r="L128" s="390">
        <f>J128</f>
        <v>0</v>
      </c>
    </row>
    <row r="129" spans="1:12">
      <c r="A129" s="391">
        <v>2</v>
      </c>
      <c r="B129" s="392" t="s">
        <v>3061</v>
      </c>
      <c r="C129" s="393">
        <v>0</v>
      </c>
      <c r="D129" s="393">
        <v>0</v>
      </c>
      <c r="E129" s="393">
        <v>0</v>
      </c>
      <c r="F129" s="393">
        <v>0</v>
      </c>
      <c r="G129" s="562">
        <v>0</v>
      </c>
      <c r="H129" s="562">
        <v>0</v>
      </c>
      <c r="I129" s="561">
        <f>C129+E129+G129</f>
        <v>0</v>
      </c>
      <c r="J129" s="561">
        <f>D129+F129+H129</f>
        <v>0</v>
      </c>
      <c r="K129" s="561">
        <f>I129</f>
        <v>0</v>
      </c>
      <c r="L129" s="390">
        <f>J129</f>
        <v>0</v>
      </c>
    </row>
    <row r="130" spans="1:12" ht="15" thickBot="1">
      <c r="A130" s="1737" t="s">
        <v>3062</v>
      </c>
      <c r="B130" s="1738"/>
      <c r="C130" s="395">
        <f t="shared" ref="C130:L130" si="20">SUM(C128:C129)</f>
        <v>0</v>
      </c>
      <c r="D130" s="395">
        <f t="shared" si="20"/>
        <v>0</v>
      </c>
      <c r="E130" s="395">
        <f t="shared" si="20"/>
        <v>0</v>
      </c>
      <c r="F130" s="395">
        <f t="shared" si="20"/>
        <v>0</v>
      </c>
      <c r="G130" s="395">
        <f t="shared" si="20"/>
        <v>0</v>
      </c>
      <c r="H130" s="395">
        <f t="shared" si="20"/>
        <v>0</v>
      </c>
      <c r="I130" s="395">
        <f t="shared" si="20"/>
        <v>0</v>
      </c>
      <c r="J130" s="395">
        <f t="shared" si="20"/>
        <v>0</v>
      </c>
      <c r="K130" s="395">
        <f t="shared" si="20"/>
        <v>0</v>
      </c>
      <c r="L130" s="396">
        <f t="shared" si="20"/>
        <v>0</v>
      </c>
    </row>
    <row r="131" spans="1:12">
      <c r="A131" s="1778" t="s">
        <v>3544</v>
      </c>
      <c r="B131" s="1775" t="s">
        <v>3052</v>
      </c>
      <c r="C131" s="1777" t="s">
        <v>3063</v>
      </c>
      <c r="D131" s="1740"/>
      <c r="E131" s="1744" t="s">
        <v>3064</v>
      </c>
      <c r="F131" s="1745"/>
      <c r="G131" s="1739" t="s">
        <v>3065</v>
      </c>
      <c r="H131" s="1740"/>
      <c r="I131" s="1739" t="s">
        <v>3066</v>
      </c>
      <c r="J131" s="1740"/>
      <c r="K131" s="1739" t="s">
        <v>3057</v>
      </c>
      <c r="L131" s="1749"/>
    </row>
    <row r="132" spans="1:12" ht="24.75" thickBot="1">
      <c r="A132" s="1779"/>
      <c r="B132" s="1776"/>
      <c r="C132" s="383" t="s">
        <v>3058</v>
      </c>
      <c r="D132" s="384" t="s">
        <v>3059</v>
      </c>
      <c r="E132" s="383" t="s">
        <v>3058</v>
      </c>
      <c r="F132" s="384" t="s">
        <v>3059</v>
      </c>
      <c r="G132" s="383" t="s">
        <v>3058</v>
      </c>
      <c r="H132" s="384" t="s">
        <v>3059</v>
      </c>
      <c r="I132" s="383" t="s">
        <v>3058</v>
      </c>
      <c r="J132" s="384" t="s">
        <v>3059</v>
      </c>
      <c r="K132" s="383" t="s">
        <v>3058</v>
      </c>
      <c r="L132" s="385" t="s">
        <v>3059</v>
      </c>
    </row>
    <row r="133" spans="1:12">
      <c r="A133" s="386">
        <v>1</v>
      </c>
      <c r="B133" s="387" t="s">
        <v>3060</v>
      </c>
      <c r="C133" s="388">
        <v>0</v>
      </c>
      <c r="D133" s="388">
        <v>0</v>
      </c>
      <c r="E133" s="388">
        <v>0</v>
      </c>
      <c r="F133" s="388">
        <v>0</v>
      </c>
      <c r="G133" s="561">
        <v>0</v>
      </c>
      <c r="H133" s="561">
        <v>0</v>
      </c>
      <c r="I133" s="561">
        <f>C133+E133+G133</f>
        <v>0</v>
      </c>
      <c r="J133" s="561">
        <f>D133+F133+H133</f>
        <v>0</v>
      </c>
      <c r="K133" s="561">
        <f>K128+I133</f>
        <v>0</v>
      </c>
      <c r="L133" s="390">
        <f>L128+J133</f>
        <v>0</v>
      </c>
    </row>
    <row r="134" spans="1:12">
      <c r="A134" s="391">
        <v>2</v>
      </c>
      <c r="B134" s="392" t="s">
        <v>3061</v>
      </c>
      <c r="C134" s="393">
        <v>0</v>
      </c>
      <c r="D134" s="393">
        <v>0</v>
      </c>
      <c r="E134" s="393">
        <v>0</v>
      </c>
      <c r="F134" s="393">
        <v>0</v>
      </c>
      <c r="G134" s="562">
        <v>0</v>
      </c>
      <c r="H134" s="562">
        <v>0</v>
      </c>
      <c r="I134" s="561">
        <f>C134+E134+G134</f>
        <v>0</v>
      </c>
      <c r="J134" s="561">
        <f>D134+F134+H134</f>
        <v>0</v>
      </c>
      <c r="K134" s="562">
        <f>K129+I134</f>
        <v>0</v>
      </c>
      <c r="L134" s="563">
        <f>L129+J134</f>
        <v>0</v>
      </c>
    </row>
    <row r="135" spans="1:12" ht="15" thickBot="1">
      <c r="A135" s="1737" t="s">
        <v>3062</v>
      </c>
      <c r="B135" s="1738"/>
      <c r="C135" s="395">
        <f t="shared" ref="C135:L135" si="21">SUM(C133:C134)</f>
        <v>0</v>
      </c>
      <c r="D135" s="395">
        <f t="shared" si="21"/>
        <v>0</v>
      </c>
      <c r="E135" s="395">
        <f t="shared" si="21"/>
        <v>0</v>
      </c>
      <c r="F135" s="395">
        <f t="shared" si="21"/>
        <v>0</v>
      </c>
      <c r="G135" s="395">
        <f t="shared" si="21"/>
        <v>0</v>
      </c>
      <c r="H135" s="395">
        <f t="shared" si="21"/>
        <v>0</v>
      </c>
      <c r="I135" s="395">
        <f t="shared" si="21"/>
        <v>0</v>
      </c>
      <c r="J135" s="395">
        <f t="shared" si="21"/>
        <v>0</v>
      </c>
      <c r="K135" s="395">
        <f t="shared" si="21"/>
        <v>0</v>
      </c>
      <c r="L135" s="396">
        <f t="shared" si="21"/>
        <v>0</v>
      </c>
    </row>
    <row r="136" spans="1:12">
      <c r="A136" s="1778" t="s">
        <v>3544</v>
      </c>
      <c r="B136" s="1775" t="s">
        <v>3052</v>
      </c>
      <c r="C136" s="1777" t="s">
        <v>3067</v>
      </c>
      <c r="D136" s="1740"/>
      <c r="E136" s="1744" t="s">
        <v>3068</v>
      </c>
      <c r="F136" s="1745"/>
      <c r="G136" s="1739" t="s">
        <v>3069</v>
      </c>
      <c r="H136" s="1740"/>
      <c r="I136" s="1739" t="s">
        <v>3070</v>
      </c>
      <c r="J136" s="1740"/>
      <c r="K136" s="1739" t="s">
        <v>3057</v>
      </c>
      <c r="L136" s="1749"/>
    </row>
    <row r="137" spans="1:12" ht="24.75" thickBot="1">
      <c r="A137" s="1779"/>
      <c r="B137" s="1776"/>
      <c r="C137" s="383" t="s">
        <v>3058</v>
      </c>
      <c r="D137" s="384" t="s">
        <v>3059</v>
      </c>
      <c r="E137" s="383" t="s">
        <v>3058</v>
      </c>
      <c r="F137" s="384" t="s">
        <v>3059</v>
      </c>
      <c r="G137" s="383" t="s">
        <v>3058</v>
      </c>
      <c r="H137" s="384" t="s">
        <v>3059</v>
      </c>
      <c r="I137" s="383" t="s">
        <v>3058</v>
      </c>
      <c r="J137" s="384" t="s">
        <v>3059</v>
      </c>
      <c r="K137" s="383" t="s">
        <v>3058</v>
      </c>
      <c r="L137" s="385" t="s">
        <v>3059</v>
      </c>
    </row>
    <row r="138" spans="1:12">
      <c r="A138" s="386">
        <v>1</v>
      </c>
      <c r="B138" s="387" t="s">
        <v>3060</v>
      </c>
      <c r="C138" s="564">
        <v>0</v>
      </c>
      <c r="D138" s="564">
        <v>0</v>
      </c>
      <c r="E138" s="388">
        <v>0</v>
      </c>
      <c r="F138" s="388">
        <v>0</v>
      </c>
      <c r="G138" s="561">
        <v>0</v>
      </c>
      <c r="H138" s="561">
        <v>0</v>
      </c>
      <c r="I138" s="561">
        <f>C138+E138+G138</f>
        <v>0</v>
      </c>
      <c r="J138" s="561">
        <f>D138+F138+H138</f>
        <v>0</v>
      </c>
      <c r="K138" s="561">
        <f>K133+I138</f>
        <v>0</v>
      </c>
      <c r="L138" s="390">
        <f>L133+J138</f>
        <v>0</v>
      </c>
    </row>
    <row r="139" spans="1:12">
      <c r="A139" s="391">
        <v>2</v>
      </c>
      <c r="B139" s="392" t="s">
        <v>3061</v>
      </c>
      <c r="C139" s="565">
        <v>0</v>
      </c>
      <c r="D139" s="393">
        <v>0</v>
      </c>
      <c r="E139" s="393">
        <v>0</v>
      </c>
      <c r="F139" s="393">
        <v>0</v>
      </c>
      <c r="G139" s="562">
        <v>0</v>
      </c>
      <c r="H139" s="562">
        <v>0</v>
      </c>
      <c r="I139" s="561">
        <f>C139+E139+G139</f>
        <v>0</v>
      </c>
      <c r="J139" s="561">
        <f>D139+F139+H139</f>
        <v>0</v>
      </c>
      <c r="K139" s="562">
        <f>K134+I139</f>
        <v>0</v>
      </c>
      <c r="L139" s="563">
        <f>L134+J139</f>
        <v>0</v>
      </c>
    </row>
    <row r="140" spans="1:12" ht="15" thickBot="1">
      <c r="A140" s="1737" t="s">
        <v>3062</v>
      </c>
      <c r="B140" s="1738"/>
      <c r="C140" s="395">
        <f t="shared" ref="C140:L140" si="22">SUM(C138:C139)</f>
        <v>0</v>
      </c>
      <c r="D140" s="395">
        <f t="shared" si="22"/>
        <v>0</v>
      </c>
      <c r="E140" s="395">
        <f t="shared" si="22"/>
        <v>0</v>
      </c>
      <c r="F140" s="395">
        <f t="shared" si="22"/>
        <v>0</v>
      </c>
      <c r="G140" s="395">
        <f t="shared" si="22"/>
        <v>0</v>
      </c>
      <c r="H140" s="395">
        <f t="shared" si="22"/>
        <v>0</v>
      </c>
      <c r="I140" s="395">
        <f t="shared" si="22"/>
        <v>0</v>
      </c>
      <c r="J140" s="395">
        <f t="shared" si="22"/>
        <v>0</v>
      </c>
      <c r="K140" s="395">
        <f t="shared" si="22"/>
        <v>0</v>
      </c>
      <c r="L140" s="396">
        <f t="shared" si="22"/>
        <v>0</v>
      </c>
    </row>
    <row r="141" spans="1:12">
      <c r="A141" s="1778" t="s">
        <v>3544</v>
      </c>
      <c r="B141" s="1775" t="s">
        <v>3052</v>
      </c>
      <c r="C141" s="1777" t="s">
        <v>3071</v>
      </c>
      <c r="D141" s="1740"/>
      <c r="E141" s="1744" t="s">
        <v>3072</v>
      </c>
      <c r="F141" s="1745"/>
      <c r="G141" s="1739" t="s">
        <v>3073</v>
      </c>
      <c r="H141" s="1740"/>
      <c r="I141" s="1739" t="s">
        <v>3074</v>
      </c>
      <c r="J141" s="1740"/>
      <c r="K141" s="1739" t="s">
        <v>3057</v>
      </c>
      <c r="L141" s="1749"/>
    </row>
    <row r="142" spans="1:12" ht="24.75" thickBot="1">
      <c r="A142" s="1779"/>
      <c r="B142" s="1776"/>
      <c r="C142" s="383" t="s">
        <v>3058</v>
      </c>
      <c r="D142" s="384" t="s">
        <v>3059</v>
      </c>
      <c r="E142" s="383" t="s">
        <v>3058</v>
      </c>
      <c r="F142" s="384" t="s">
        <v>3059</v>
      </c>
      <c r="G142" s="383" t="s">
        <v>3058</v>
      </c>
      <c r="H142" s="384" t="s">
        <v>3059</v>
      </c>
      <c r="I142" s="383" t="s">
        <v>3058</v>
      </c>
      <c r="J142" s="384" t="s">
        <v>3059</v>
      </c>
      <c r="K142" s="383" t="s">
        <v>3058</v>
      </c>
      <c r="L142" s="385" t="s">
        <v>3059</v>
      </c>
    </row>
    <row r="143" spans="1:12">
      <c r="A143" s="386">
        <v>1</v>
      </c>
      <c r="B143" s="387" t="s">
        <v>3060</v>
      </c>
      <c r="C143" s="388">
        <v>0</v>
      </c>
      <c r="D143" s="388">
        <v>0</v>
      </c>
      <c r="E143" s="388">
        <v>2</v>
      </c>
      <c r="F143" s="388">
        <v>3238.42</v>
      </c>
      <c r="G143" s="561">
        <v>0</v>
      </c>
      <c r="H143" s="561">
        <v>0</v>
      </c>
      <c r="I143" s="561">
        <f>C143+E143+G143</f>
        <v>2</v>
      </c>
      <c r="J143" s="561">
        <f>D143+F143+H143</f>
        <v>3238.42</v>
      </c>
      <c r="K143" s="561">
        <f>K138+I143</f>
        <v>2</v>
      </c>
      <c r="L143" s="390">
        <f>L138+J143</f>
        <v>3238.42</v>
      </c>
    </row>
    <row r="144" spans="1:12">
      <c r="A144" s="391">
        <v>2</v>
      </c>
      <c r="B144" s="392" t="s">
        <v>3061</v>
      </c>
      <c r="C144" s="393">
        <v>0</v>
      </c>
      <c r="D144" s="393">
        <v>0</v>
      </c>
      <c r="E144" s="393">
        <v>0</v>
      </c>
      <c r="F144" s="393">
        <v>0</v>
      </c>
      <c r="G144" s="562">
        <v>0</v>
      </c>
      <c r="H144" s="562">
        <v>0</v>
      </c>
      <c r="I144" s="561">
        <f>C144+E144+G144</f>
        <v>0</v>
      </c>
      <c r="J144" s="561">
        <f>D144+F144+H144</f>
        <v>0</v>
      </c>
      <c r="K144" s="562">
        <f>K139+I144</f>
        <v>0</v>
      </c>
      <c r="L144" s="563">
        <f>L139+J144</f>
        <v>0</v>
      </c>
    </row>
    <row r="145" spans="1:12" ht="15" thickBot="1">
      <c r="A145" s="1737" t="s">
        <v>3062</v>
      </c>
      <c r="B145" s="1738"/>
      <c r="C145" s="399">
        <f t="shared" ref="C145:L145" si="23">SUM(C143:C144)</f>
        <v>0</v>
      </c>
      <c r="D145" s="399">
        <f t="shared" si="23"/>
        <v>0</v>
      </c>
      <c r="E145" s="399">
        <f t="shared" si="23"/>
        <v>2</v>
      </c>
      <c r="F145" s="399">
        <f t="shared" si="23"/>
        <v>3238.42</v>
      </c>
      <c r="G145" s="399">
        <f t="shared" si="23"/>
        <v>0</v>
      </c>
      <c r="H145" s="399">
        <f t="shared" si="23"/>
        <v>0</v>
      </c>
      <c r="I145" s="399">
        <f t="shared" si="23"/>
        <v>2</v>
      </c>
      <c r="J145" s="399">
        <f t="shared" si="23"/>
        <v>3238.42</v>
      </c>
      <c r="K145" s="399">
        <f t="shared" si="23"/>
        <v>2</v>
      </c>
      <c r="L145" s="400">
        <f t="shared" si="23"/>
        <v>3238.42</v>
      </c>
    </row>
    <row r="148" spans="1:12">
      <c r="A148" s="1651" t="s">
        <v>3693</v>
      </c>
      <c r="B148" s="1651"/>
      <c r="C148" s="1651"/>
      <c r="D148" s="1651"/>
      <c r="E148" s="1651"/>
      <c r="F148" s="1651"/>
      <c r="G148" s="1651"/>
      <c r="H148" s="1651"/>
      <c r="I148" s="1651"/>
      <c r="J148" s="1651"/>
      <c r="K148" s="1651"/>
      <c r="L148" s="1651"/>
    </row>
    <row r="149" spans="1:12" ht="15" thickBot="1"/>
    <row r="150" spans="1:12">
      <c r="A150" s="1778" t="s">
        <v>3544</v>
      </c>
      <c r="B150" s="1775" t="s">
        <v>3052</v>
      </c>
      <c r="C150" s="1777" t="s">
        <v>3053</v>
      </c>
      <c r="D150" s="1740"/>
      <c r="E150" s="1744" t="s">
        <v>3054</v>
      </c>
      <c r="F150" s="1745"/>
      <c r="G150" s="1739" t="s">
        <v>3055</v>
      </c>
      <c r="H150" s="1740"/>
      <c r="I150" s="1739" t="s">
        <v>3056</v>
      </c>
      <c r="J150" s="1740"/>
      <c r="K150" s="1739" t="s">
        <v>3057</v>
      </c>
      <c r="L150" s="1749"/>
    </row>
    <row r="151" spans="1:12" ht="24.75" thickBot="1">
      <c r="A151" s="1779"/>
      <c r="B151" s="1776"/>
      <c r="C151" s="383" t="s">
        <v>3058</v>
      </c>
      <c r="D151" s="384" t="s">
        <v>3059</v>
      </c>
      <c r="E151" s="383" t="s">
        <v>3058</v>
      </c>
      <c r="F151" s="384" t="s">
        <v>3059</v>
      </c>
      <c r="G151" s="383" t="s">
        <v>3058</v>
      </c>
      <c r="H151" s="384" t="s">
        <v>3059</v>
      </c>
      <c r="I151" s="383" t="s">
        <v>3058</v>
      </c>
      <c r="J151" s="384" t="s">
        <v>3059</v>
      </c>
      <c r="K151" s="383" t="s">
        <v>3058</v>
      </c>
      <c r="L151" s="385" t="s">
        <v>3059</v>
      </c>
    </row>
    <row r="152" spans="1:12">
      <c r="A152" s="386">
        <v>1</v>
      </c>
      <c r="B152" s="387" t="s">
        <v>3060</v>
      </c>
      <c r="C152" s="388">
        <v>0</v>
      </c>
      <c r="D152" s="388">
        <v>0</v>
      </c>
      <c r="E152" s="388">
        <v>0</v>
      </c>
      <c r="F152" s="388">
        <v>0</v>
      </c>
      <c r="G152" s="561">
        <v>0</v>
      </c>
      <c r="H152" s="561">
        <v>0</v>
      </c>
      <c r="I152" s="561">
        <f>C152+E152+G152</f>
        <v>0</v>
      </c>
      <c r="J152" s="561">
        <f>D152+F152+H152</f>
        <v>0</v>
      </c>
      <c r="K152" s="561">
        <f>I152</f>
        <v>0</v>
      </c>
      <c r="L152" s="390">
        <f>J152</f>
        <v>0</v>
      </c>
    </row>
    <row r="153" spans="1:12">
      <c r="A153" s="391">
        <v>2</v>
      </c>
      <c r="B153" s="392" t="s">
        <v>3061</v>
      </c>
      <c r="C153" s="393">
        <v>0</v>
      </c>
      <c r="D153" s="393">
        <v>0</v>
      </c>
      <c r="E153" s="393">
        <v>0</v>
      </c>
      <c r="F153" s="393">
        <v>0</v>
      </c>
      <c r="G153" s="562">
        <v>0</v>
      </c>
      <c r="H153" s="562">
        <v>0</v>
      </c>
      <c r="I153" s="561">
        <f>C153+E153+G153</f>
        <v>0</v>
      </c>
      <c r="J153" s="561">
        <f>D153+F153+H153</f>
        <v>0</v>
      </c>
      <c r="K153" s="561">
        <f>I153</f>
        <v>0</v>
      </c>
      <c r="L153" s="390">
        <f>J153</f>
        <v>0</v>
      </c>
    </row>
    <row r="154" spans="1:12" ht="15" thickBot="1">
      <c r="A154" s="1737" t="s">
        <v>3062</v>
      </c>
      <c r="B154" s="1738"/>
      <c r="C154" s="395">
        <f t="shared" ref="C154:L154" si="24">SUM(C152:C153)</f>
        <v>0</v>
      </c>
      <c r="D154" s="395">
        <f t="shared" si="24"/>
        <v>0</v>
      </c>
      <c r="E154" s="395">
        <f t="shared" si="24"/>
        <v>0</v>
      </c>
      <c r="F154" s="395">
        <f t="shared" si="24"/>
        <v>0</v>
      </c>
      <c r="G154" s="395">
        <f t="shared" si="24"/>
        <v>0</v>
      </c>
      <c r="H154" s="395">
        <f t="shared" si="24"/>
        <v>0</v>
      </c>
      <c r="I154" s="395">
        <f t="shared" si="24"/>
        <v>0</v>
      </c>
      <c r="J154" s="395">
        <f t="shared" si="24"/>
        <v>0</v>
      </c>
      <c r="K154" s="395">
        <f t="shared" si="24"/>
        <v>0</v>
      </c>
      <c r="L154" s="396">
        <f t="shared" si="24"/>
        <v>0</v>
      </c>
    </row>
    <row r="155" spans="1:12">
      <c r="A155" s="1778" t="s">
        <v>3544</v>
      </c>
      <c r="B155" s="1775" t="s">
        <v>3052</v>
      </c>
      <c r="C155" s="1777" t="s">
        <v>3063</v>
      </c>
      <c r="D155" s="1740"/>
      <c r="E155" s="1744" t="s">
        <v>3064</v>
      </c>
      <c r="F155" s="1745"/>
      <c r="G155" s="1739" t="s">
        <v>3065</v>
      </c>
      <c r="H155" s="1740"/>
      <c r="I155" s="1739" t="s">
        <v>3066</v>
      </c>
      <c r="J155" s="1740"/>
      <c r="K155" s="1739" t="s">
        <v>3057</v>
      </c>
      <c r="L155" s="1749"/>
    </row>
    <row r="156" spans="1:12" ht="24.75" thickBot="1">
      <c r="A156" s="1779"/>
      <c r="B156" s="1776"/>
      <c r="C156" s="383" t="s">
        <v>3058</v>
      </c>
      <c r="D156" s="384" t="s">
        <v>3059</v>
      </c>
      <c r="E156" s="383" t="s">
        <v>3058</v>
      </c>
      <c r="F156" s="384" t="s">
        <v>3059</v>
      </c>
      <c r="G156" s="383" t="s">
        <v>3058</v>
      </c>
      <c r="H156" s="384" t="s">
        <v>3059</v>
      </c>
      <c r="I156" s="383" t="s">
        <v>3058</v>
      </c>
      <c r="J156" s="384" t="s">
        <v>3059</v>
      </c>
      <c r="K156" s="383" t="s">
        <v>3058</v>
      </c>
      <c r="L156" s="385" t="s">
        <v>3059</v>
      </c>
    </row>
    <row r="157" spans="1:12">
      <c r="A157" s="386">
        <v>1</v>
      </c>
      <c r="B157" s="387" t="s">
        <v>3060</v>
      </c>
      <c r="C157" s="388">
        <v>0</v>
      </c>
      <c r="D157" s="388">
        <v>0</v>
      </c>
      <c r="E157" s="388">
        <v>0</v>
      </c>
      <c r="F157" s="388">
        <v>0</v>
      </c>
      <c r="G157" s="561">
        <v>0</v>
      </c>
      <c r="H157" s="561">
        <v>0</v>
      </c>
      <c r="I157" s="561">
        <f>C157+E157+G157</f>
        <v>0</v>
      </c>
      <c r="J157" s="561">
        <f>D157+F157+H157</f>
        <v>0</v>
      </c>
      <c r="K157" s="561">
        <f>K152+I157</f>
        <v>0</v>
      </c>
      <c r="L157" s="390">
        <f>L152+J157</f>
        <v>0</v>
      </c>
    </row>
    <row r="158" spans="1:12">
      <c r="A158" s="391">
        <v>2</v>
      </c>
      <c r="B158" s="392" t="s">
        <v>3061</v>
      </c>
      <c r="C158" s="393">
        <v>0</v>
      </c>
      <c r="D158" s="393">
        <v>0</v>
      </c>
      <c r="E158" s="393">
        <v>0</v>
      </c>
      <c r="F158" s="393">
        <v>0</v>
      </c>
      <c r="G158" s="562">
        <v>0</v>
      </c>
      <c r="H158" s="562">
        <v>0</v>
      </c>
      <c r="I158" s="561">
        <f>C158+E158+G158</f>
        <v>0</v>
      </c>
      <c r="J158" s="561">
        <f>D158+F158+H158</f>
        <v>0</v>
      </c>
      <c r="K158" s="562">
        <f>K153+I158</f>
        <v>0</v>
      </c>
      <c r="L158" s="563">
        <f>L153+J158</f>
        <v>0</v>
      </c>
    </row>
    <row r="159" spans="1:12" ht="15" thickBot="1">
      <c r="A159" s="1737" t="s">
        <v>3062</v>
      </c>
      <c r="B159" s="1738"/>
      <c r="C159" s="395">
        <f t="shared" ref="C159:L159" si="25">SUM(C157:C158)</f>
        <v>0</v>
      </c>
      <c r="D159" s="395">
        <f t="shared" si="25"/>
        <v>0</v>
      </c>
      <c r="E159" s="395">
        <f t="shared" si="25"/>
        <v>0</v>
      </c>
      <c r="F159" s="395">
        <f t="shared" si="25"/>
        <v>0</v>
      </c>
      <c r="G159" s="395">
        <f t="shared" si="25"/>
        <v>0</v>
      </c>
      <c r="H159" s="395">
        <f t="shared" si="25"/>
        <v>0</v>
      </c>
      <c r="I159" s="395">
        <f t="shared" si="25"/>
        <v>0</v>
      </c>
      <c r="J159" s="395">
        <f t="shared" si="25"/>
        <v>0</v>
      </c>
      <c r="K159" s="395">
        <f t="shared" si="25"/>
        <v>0</v>
      </c>
      <c r="L159" s="396">
        <f t="shared" si="25"/>
        <v>0</v>
      </c>
    </row>
    <row r="160" spans="1:12">
      <c r="A160" s="1778" t="s">
        <v>3544</v>
      </c>
      <c r="B160" s="1775" t="s">
        <v>3052</v>
      </c>
      <c r="C160" s="1777" t="s">
        <v>3067</v>
      </c>
      <c r="D160" s="1740"/>
      <c r="E160" s="1744" t="s">
        <v>3068</v>
      </c>
      <c r="F160" s="1745"/>
      <c r="G160" s="1739" t="s">
        <v>3069</v>
      </c>
      <c r="H160" s="1740"/>
      <c r="I160" s="1739" t="s">
        <v>3070</v>
      </c>
      <c r="J160" s="1740"/>
      <c r="K160" s="1739" t="s">
        <v>3057</v>
      </c>
      <c r="L160" s="1749"/>
    </row>
    <row r="161" spans="1:12" ht="24.75" thickBot="1">
      <c r="A161" s="1779"/>
      <c r="B161" s="1776"/>
      <c r="C161" s="383" t="s">
        <v>3058</v>
      </c>
      <c r="D161" s="384" t="s">
        <v>3059</v>
      </c>
      <c r="E161" s="383" t="s">
        <v>3058</v>
      </c>
      <c r="F161" s="384" t="s">
        <v>3059</v>
      </c>
      <c r="G161" s="383" t="s">
        <v>3058</v>
      </c>
      <c r="H161" s="384" t="s">
        <v>3059</v>
      </c>
      <c r="I161" s="383" t="s">
        <v>3058</v>
      </c>
      <c r="J161" s="384" t="s">
        <v>3059</v>
      </c>
      <c r="K161" s="383" t="s">
        <v>3058</v>
      </c>
      <c r="L161" s="385" t="s">
        <v>3059</v>
      </c>
    </row>
    <row r="162" spans="1:12">
      <c r="A162" s="386">
        <v>1</v>
      </c>
      <c r="B162" s="387" t="s">
        <v>3060</v>
      </c>
      <c r="C162" s="564">
        <v>0</v>
      </c>
      <c r="D162" s="564">
        <v>0</v>
      </c>
      <c r="E162" s="388">
        <v>0</v>
      </c>
      <c r="F162" s="388">
        <v>0</v>
      </c>
      <c r="G162" s="561">
        <v>0</v>
      </c>
      <c r="H162" s="561">
        <v>0</v>
      </c>
      <c r="I162" s="561">
        <f>C162+E162+G162</f>
        <v>0</v>
      </c>
      <c r="J162" s="561">
        <f>D162+F162+H162</f>
        <v>0</v>
      </c>
      <c r="K162" s="561">
        <f>K157+I162</f>
        <v>0</v>
      </c>
      <c r="L162" s="390">
        <f>L157+J162</f>
        <v>0</v>
      </c>
    </row>
    <row r="163" spans="1:12">
      <c r="A163" s="391">
        <v>2</v>
      </c>
      <c r="B163" s="392" t="s">
        <v>3061</v>
      </c>
      <c r="C163" s="565">
        <v>0</v>
      </c>
      <c r="D163" s="393">
        <v>0</v>
      </c>
      <c r="E163" s="393">
        <v>0</v>
      </c>
      <c r="F163" s="393">
        <v>0</v>
      </c>
      <c r="G163" s="562">
        <v>0</v>
      </c>
      <c r="H163" s="562">
        <v>0</v>
      </c>
      <c r="I163" s="561">
        <f>C163+E163+G163</f>
        <v>0</v>
      </c>
      <c r="J163" s="561">
        <f>D163+F163+H163</f>
        <v>0</v>
      </c>
      <c r="K163" s="562">
        <f>K158+I163</f>
        <v>0</v>
      </c>
      <c r="L163" s="563">
        <f>L158+J163</f>
        <v>0</v>
      </c>
    </row>
    <row r="164" spans="1:12" ht="15" thickBot="1">
      <c r="A164" s="1737" t="s">
        <v>3062</v>
      </c>
      <c r="B164" s="1738"/>
      <c r="C164" s="395">
        <f t="shared" ref="C164:L164" si="26">SUM(C162:C163)</f>
        <v>0</v>
      </c>
      <c r="D164" s="395">
        <f t="shared" si="26"/>
        <v>0</v>
      </c>
      <c r="E164" s="395">
        <f t="shared" si="26"/>
        <v>0</v>
      </c>
      <c r="F164" s="395">
        <f t="shared" si="26"/>
        <v>0</v>
      </c>
      <c r="G164" s="395">
        <f t="shared" si="26"/>
        <v>0</v>
      </c>
      <c r="H164" s="395">
        <f t="shared" si="26"/>
        <v>0</v>
      </c>
      <c r="I164" s="395">
        <f t="shared" si="26"/>
        <v>0</v>
      </c>
      <c r="J164" s="395">
        <f t="shared" si="26"/>
        <v>0</v>
      </c>
      <c r="K164" s="395">
        <f t="shared" si="26"/>
        <v>0</v>
      </c>
      <c r="L164" s="396">
        <f t="shared" si="26"/>
        <v>0</v>
      </c>
    </row>
    <row r="165" spans="1:12">
      <c r="A165" s="1778" t="s">
        <v>3544</v>
      </c>
      <c r="B165" s="1775" t="s">
        <v>3052</v>
      </c>
      <c r="C165" s="1777" t="s">
        <v>3071</v>
      </c>
      <c r="D165" s="1740"/>
      <c r="E165" s="1744" t="s">
        <v>3072</v>
      </c>
      <c r="F165" s="1745"/>
      <c r="G165" s="1739" t="s">
        <v>3073</v>
      </c>
      <c r="H165" s="1740"/>
      <c r="I165" s="1739" t="s">
        <v>3074</v>
      </c>
      <c r="J165" s="1740"/>
      <c r="K165" s="1739" t="s">
        <v>3057</v>
      </c>
      <c r="L165" s="1749"/>
    </row>
    <row r="166" spans="1:12" ht="24.75" thickBot="1">
      <c r="A166" s="1779"/>
      <c r="B166" s="1776"/>
      <c r="C166" s="383" t="s">
        <v>3058</v>
      </c>
      <c r="D166" s="384" t="s">
        <v>3059</v>
      </c>
      <c r="E166" s="383" t="s">
        <v>3058</v>
      </c>
      <c r="F166" s="384" t="s">
        <v>3059</v>
      </c>
      <c r="G166" s="383" t="s">
        <v>3058</v>
      </c>
      <c r="H166" s="384" t="s">
        <v>3059</v>
      </c>
      <c r="I166" s="383" t="s">
        <v>3058</v>
      </c>
      <c r="J166" s="384" t="s">
        <v>3059</v>
      </c>
      <c r="K166" s="383" t="s">
        <v>3058</v>
      </c>
      <c r="L166" s="385" t="s">
        <v>3059</v>
      </c>
    </row>
    <row r="167" spans="1:12">
      <c r="A167" s="386">
        <v>1</v>
      </c>
      <c r="B167" s="387" t="s">
        <v>3060</v>
      </c>
      <c r="C167" s="388">
        <v>0</v>
      </c>
      <c r="D167" s="388">
        <v>0</v>
      </c>
      <c r="E167" s="388">
        <v>0</v>
      </c>
      <c r="F167" s="388">
        <v>0</v>
      </c>
      <c r="G167" s="561">
        <v>0</v>
      </c>
      <c r="H167" s="561">
        <v>0</v>
      </c>
      <c r="I167" s="561">
        <f>C167+E167+G167</f>
        <v>0</v>
      </c>
      <c r="J167" s="561">
        <f>D167+F167+H167</f>
        <v>0</v>
      </c>
      <c r="K167" s="561">
        <f>K162+I167</f>
        <v>0</v>
      </c>
      <c r="L167" s="390">
        <f>L162+J167</f>
        <v>0</v>
      </c>
    </row>
    <row r="168" spans="1:12">
      <c r="A168" s="391">
        <v>2</v>
      </c>
      <c r="B168" s="392" t="s">
        <v>3061</v>
      </c>
      <c r="C168" s="393">
        <v>0</v>
      </c>
      <c r="D168" s="393">
        <v>0</v>
      </c>
      <c r="E168" s="393">
        <v>0</v>
      </c>
      <c r="F168" s="393">
        <v>0</v>
      </c>
      <c r="G168" s="562">
        <v>0</v>
      </c>
      <c r="H168" s="562">
        <v>0</v>
      </c>
      <c r="I168" s="561">
        <f>C168+E168+G168</f>
        <v>0</v>
      </c>
      <c r="J168" s="561">
        <f>D168+F168+H168</f>
        <v>0</v>
      </c>
      <c r="K168" s="562">
        <f>K163+I168</f>
        <v>0</v>
      </c>
      <c r="L168" s="563">
        <f>L163+J168</f>
        <v>0</v>
      </c>
    </row>
    <row r="169" spans="1:12" ht="15" thickBot="1">
      <c r="A169" s="1737" t="s">
        <v>3062</v>
      </c>
      <c r="B169" s="1738"/>
      <c r="C169" s="399">
        <f t="shared" ref="C169:L169" si="27">SUM(C167:C168)</f>
        <v>0</v>
      </c>
      <c r="D169" s="399">
        <f t="shared" si="27"/>
        <v>0</v>
      </c>
      <c r="E169" s="399">
        <f t="shared" si="27"/>
        <v>0</v>
      </c>
      <c r="F169" s="399">
        <f t="shared" si="27"/>
        <v>0</v>
      </c>
      <c r="G169" s="399">
        <f t="shared" si="27"/>
        <v>0</v>
      </c>
      <c r="H169" s="399">
        <f t="shared" si="27"/>
        <v>0</v>
      </c>
      <c r="I169" s="399">
        <f t="shared" si="27"/>
        <v>0</v>
      </c>
      <c r="J169" s="399">
        <f t="shared" si="27"/>
        <v>0</v>
      </c>
      <c r="K169" s="399">
        <f t="shared" si="27"/>
        <v>0</v>
      </c>
      <c r="L169" s="400">
        <f t="shared" si="27"/>
        <v>0</v>
      </c>
    </row>
    <row r="172" spans="1:12">
      <c r="A172" s="1651" t="s">
        <v>3694</v>
      </c>
      <c r="B172" s="1651"/>
      <c r="C172" s="1651"/>
      <c r="D172" s="1651"/>
      <c r="E172" s="1651"/>
      <c r="F172" s="1651"/>
      <c r="G172" s="1651"/>
      <c r="H172" s="1651"/>
      <c r="I172" s="1651"/>
      <c r="J172" s="1651"/>
      <c r="K172" s="1651"/>
      <c r="L172" s="1651"/>
    </row>
    <row r="173" spans="1:12" ht="15" thickBot="1"/>
    <row r="174" spans="1:12">
      <c r="A174" s="1778" t="s">
        <v>3544</v>
      </c>
      <c r="B174" s="1775" t="s">
        <v>3052</v>
      </c>
      <c r="C174" s="1777" t="s">
        <v>3053</v>
      </c>
      <c r="D174" s="1740"/>
      <c r="E174" s="1744" t="s">
        <v>3054</v>
      </c>
      <c r="F174" s="1745"/>
      <c r="G174" s="1739" t="s">
        <v>3055</v>
      </c>
      <c r="H174" s="1740"/>
      <c r="I174" s="1739" t="s">
        <v>3056</v>
      </c>
      <c r="J174" s="1740"/>
      <c r="K174" s="1739" t="s">
        <v>3057</v>
      </c>
      <c r="L174" s="1749"/>
    </row>
    <row r="175" spans="1:12" ht="24.75" thickBot="1">
      <c r="A175" s="1779"/>
      <c r="B175" s="1776"/>
      <c r="C175" s="383" t="s">
        <v>3058</v>
      </c>
      <c r="D175" s="384" t="s">
        <v>3059</v>
      </c>
      <c r="E175" s="383" t="s">
        <v>3058</v>
      </c>
      <c r="F175" s="384" t="s">
        <v>3059</v>
      </c>
      <c r="G175" s="383" t="s">
        <v>3058</v>
      </c>
      <c r="H175" s="384" t="s">
        <v>3059</v>
      </c>
      <c r="I175" s="383" t="s">
        <v>3058</v>
      </c>
      <c r="J175" s="384" t="s">
        <v>3059</v>
      </c>
      <c r="K175" s="383" t="s">
        <v>3058</v>
      </c>
      <c r="L175" s="385" t="s">
        <v>3059</v>
      </c>
    </row>
    <row r="176" spans="1:12">
      <c r="A176" s="386">
        <v>1</v>
      </c>
      <c r="B176" s="387" t="s">
        <v>3060</v>
      </c>
      <c r="C176" s="388">
        <v>0</v>
      </c>
      <c r="D176" s="388">
        <v>0</v>
      </c>
      <c r="E176" s="388">
        <v>0</v>
      </c>
      <c r="F176" s="388">
        <v>0</v>
      </c>
      <c r="G176" s="561">
        <v>0</v>
      </c>
      <c r="H176" s="561">
        <v>0</v>
      </c>
      <c r="I176" s="561">
        <f>C176+E176+G176</f>
        <v>0</v>
      </c>
      <c r="J176" s="561">
        <f>D176+F176+H176</f>
        <v>0</v>
      </c>
      <c r="K176" s="561">
        <f>I176</f>
        <v>0</v>
      </c>
      <c r="L176" s="390">
        <f>J176</f>
        <v>0</v>
      </c>
    </row>
    <row r="177" spans="1:12">
      <c r="A177" s="391">
        <v>2</v>
      </c>
      <c r="B177" s="392" t="s">
        <v>3061</v>
      </c>
      <c r="C177" s="393">
        <v>0</v>
      </c>
      <c r="D177" s="393">
        <v>0</v>
      </c>
      <c r="E177" s="393">
        <v>0</v>
      </c>
      <c r="F177" s="393">
        <v>0</v>
      </c>
      <c r="G177" s="562">
        <v>0</v>
      </c>
      <c r="H177" s="562">
        <v>0</v>
      </c>
      <c r="I177" s="561">
        <f>C177+E177+G177</f>
        <v>0</v>
      </c>
      <c r="J177" s="561">
        <f>D177+F177+H177</f>
        <v>0</v>
      </c>
      <c r="K177" s="561">
        <f>I177</f>
        <v>0</v>
      </c>
      <c r="L177" s="390">
        <f>J177</f>
        <v>0</v>
      </c>
    </row>
    <row r="178" spans="1:12" ht="15" thickBot="1">
      <c r="A178" s="1737" t="s">
        <v>3062</v>
      </c>
      <c r="B178" s="1738"/>
      <c r="C178" s="395">
        <f t="shared" ref="C178:L178" si="28">SUM(C176:C177)</f>
        <v>0</v>
      </c>
      <c r="D178" s="395">
        <f t="shared" si="28"/>
        <v>0</v>
      </c>
      <c r="E178" s="395">
        <f t="shared" si="28"/>
        <v>0</v>
      </c>
      <c r="F178" s="395">
        <f t="shared" si="28"/>
        <v>0</v>
      </c>
      <c r="G178" s="395">
        <f t="shared" si="28"/>
        <v>0</v>
      </c>
      <c r="H178" s="395">
        <f t="shared" si="28"/>
        <v>0</v>
      </c>
      <c r="I178" s="395">
        <f t="shared" si="28"/>
        <v>0</v>
      </c>
      <c r="J178" s="395">
        <f t="shared" si="28"/>
        <v>0</v>
      </c>
      <c r="K178" s="395">
        <f t="shared" si="28"/>
        <v>0</v>
      </c>
      <c r="L178" s="396">
        <f t="shared" si="28"/>
        <v>0</v>
      </c>
    </row>
    <row r="179" spans="1:12">
      <c r="A179" s="1778" t="s">
        <v>3544</v>
      </c>
      <c r="B179" s="1775" t="s">
        <v>3052</v>
      </c>
      <c r="C179" s="1777" t="s">
        <v>3063</v>
      </c>
      <c r="D179" s="1740"/>
      <c r="E179" s="1744" t="s">
        <v>3064</v>
      </c>
      <c r="F179" s="1745"/>
      <c r="G179" s="1739" t="s">
        <v>3065</v>
      </c>
      <c r="H179" s="1740"/>
      <c r="I179" s="1739" t="s">
        <v>3066</v>
      </c>
      <c r="J179" s="1740"/>
      <c r="K179" s="1739" t="s">
        <v>3057</v>
      </c>
      <c r="L179" s="1749"/>
    </row>
    <row r="180" spans="1:12" ht="24.75" thickBot="1">
      <c r="A180" s="1779"/>
      <c r="B180" s="1776"/>
      <c r="C180" s="383" t="s">
        <v>3058</v>
      </c>
      <c r="D180" s="384" t="s">
        <v>3059</v>
      </c>
      <c r="E180" s="383" t="s">
        <v>3058</v>
      </c>
      <c r="F180" s="384" t="s">
        <v>3059</v>
      </c>
      <c r="G180" s="383" t="s">
        <v>3058</v>
      </c>
      <c r="H180" s="384" t="s">
        <v>3059</v>
      </c>
      <c r="I180" s="383" t="s">
        <v>3058</v>
      </c>
      <c r="J180" s="384" t="s">
        <v>3059</v>
      </c>
      <c r="K180" s="383" t="s">
        <v>3058</v>
      </c>
      <c r="L180" s="385" t="s">
        <v>3059</v>
      </c>
    </row>
    <row r="181" spans="1:12">
      <c r="A181" s="386">
        <v>1</v>
      </c>
      <c r="B181" s="387" t="s">
        <v>3060</v>
      </c>
      <c r="C181" s="388">
        <v>0</v>
      </c>
      <c r="D181" s="388">
        <v>0</v>
      </c>
      <c r="E181" s="388">
        <v>0</v>
      </c>
      <c r="F181" s="388">
        <v>0</v>
      </c>
      <c r="G181" s="561">
        <v>0</v>
      </c>
      <c r="H181" s="561">
        <v>0</v>
      </c>
      <c r="I181" s="561">
        <f>C181+E181+G181</f>
        <v>0</v>
      </c>
      <c r="J181" s="561">
        <f>D181+F181+H181</f>
        <v>0</v>
      </c>
      <c r="K181" s="561">
        <f>K176+I181</f>
        <v>0</v>
      </c>
      <c r="L181" s="390">
        <f>L176+J181</f>
        <v>0</v>
      </c>
    </row>
    <row r="182" spans="1:12">
      <c r="A182" s="391">
        <v>2</v>
      </c>
      <c r="B182" s="392" t="s">
        <v>3061</v>
      </c>
      <c r="C182" s="393">
        <v>0</v>
      </c>
      <c r="D182" s="393">
        <v>0</v>
      </c>
      <c r="E182" s="393">
        <v>0</v>
      </c>
      <c r="F182" s="393">
        <v>0</v>
      </c>
      <c r="G182" s="562">
        <v>0</v>
      </c>
      <c r="H182" s="562">
        <v>0</v>
      </c>
      <c r="I182" s="561">
        <f>C182+E182+G182</f>
        <v>0</v>
      </c>
      <c r="J182" s="561">
        <f>D182+F182+H182</f>
        <v>0</v>
      </c>
      <c r="K182" s="562">
        <f>K177+I182</f>
        <v>0</v>
      </c>
      <c r="L182" s="563">
        <f>L177+J182</f>
        <v>0</v>
      </c>
    </row>
    <row r="183" spans="1:12" ht="15" thickBot="1">
      <c r="A183" s="1737" t="s">
        <v>3062</v>
      </c>
      <c r="B183" s="1738"/>
      <c r="C183" s="395">
        <f t="shared" ref="C183:L183" si="29">SUM(C181:C182)</f>
        <v>0</v>
      </c>
      <c r="D183" s="395">
        <f t="shared" si="29"/>
        <v>0</v>
      </c>
      <c r="E183" s="395">
        <f t="shared" si="29"/>
        <v>0</v>
      </c>
      <c r="F183" s="395">
        <f t="shared" si="29"/>
        <v>0</v>
      </c>
      <c r="G183" s="395">
        <f t="shared" si="29"/>
        <v>0</v>
      </c>
      <c r="H183" s="395">
        <f t="shared" si="29"/>
        <v>0</v>
      </c>
      <c r="I183" s="395">
        <f t="shared" si="29"/>
        <v>0</v>
      </c>
      <c r="J183" s="395">
        <f t="shared" si="29"/>
        <v>0</v>
      </c>
      <c r="K183" s="395">
        <f t="shared" si="29"/>
        <v>0</v>
      </c>
      <c r="L183" s="396">
        <f t="shared" si="29"/>
        <v>0</v>
      </c>
    </row>
    <row r="184" spans="1:12">
      <c r="A184" s="1778" t="s">
        <v>3544</v>
      </c>
      <c r="B184" s="1775" t="s">
        <v>3052</v>
      </c>
      <c r="C184" s="1777" t="s">
        <v>3067</v>
      </c>
      <c r="D184" s="1740"/>
      <c r="E184" s="1744" t="s">
        <v>3068</v>
      </c>
      <c r="F184" s="1745"/>
      <c r="G184" s="1739" t="s">
        <v>3069</v>
      </c>
      <c r="H184" s="1740"/>
      <c r="I184" s="1739" t="s">
        <v>3070</v>
      </c>
      <c r="J184" s="1740"/>
      <c r="K184" s="1739" t="s">
        <v>3057</v>
      </c>
      <c r="L184" s="1749"/>
    </row>
    <row r="185" spans="1:12" ht="24.75" thickBot="1">
      <c r="A185" s="1779"/>
      <c r="B185" s="1776"/>
      <c r="C185" s="383" t="s">
        <v>3058</v>
      </c>
      <c r="D185" s="384" t="s">
        <v>3059</v>
      </c>
      <c r="E185" s="383" t="s">
        <v>3058</v>
      </c>
      <c r="F185" s="384" t="s">
        <v>3059</v>
      </c>
      <c r="G185" s="383" t="s">
        <v>3058</v>
      </c>
      <c r="H185" s="384" t="s">
        <v>3059</v>
      </c>
      <c r="I185" s="383" t="s">
        <v>3058</v>
      </c>
      <c r="J185" s="384" t="s">
        <v>3059</v>
      </c>
      <c r="K185" s="383" t="s">
        <v>3058</v>
      </c>
      <c r="L185" s="385" t="s">
        <v>3059</v>
      </c>
    </row>
    <row r="186" spans="1:12">
      <c r="A186" s="386">
        <v>1</v>
      </c>
      <c r="B186" s="387" t="s">
        <v>3060</v>
      </c>
      <c r="C186" s="564">
        <v>0</v>
      </c>
      <c r="D186" s="564">
        <v>0</v>
      </c>
      <c r="E186" s="388">
        <v>0</v>
      </c>
      <c r="F186" s="388">
        <v>0</v>
      </c>
      <c r="G186" s="561">
        <v>0</v>
      </c>
      <c r="H186" s="561">
        <v>0</v>
      </c>
      <c r="I186" s="561">
        <f>C186+E186+G186</f>
        <v>0</v>
      </c>
      <c r="J186" s="561">
        <f>D186+F186+H186</f>
        <v>0</v>
      </c>
      <c r="K186" s="561">
        <f>K181+I186</f>
        <v>0</v>
      </c>
      <c r="L186" s="390">
        <f>L181+J186</f>
        <v>0</v>
      </c>
    </row>
    <row r="187" spans="1:12">
      <c r="A187" s="391">
        <v>2</v>
      </c>
      <c r="B187" s="392" t="s">
        <v>3061</v>
      </c>
      <c r="C187" s="565">
        <v>0</v>
      </c>
      <c r="D187" s="393">
        <v>0</v>
      </c>
      <c r="E187" s="393">
        <v>0</v>
      </c>
      <c r="F187" s="393">
        <v>0</v>
      </c>
      <c r="G187" s="562">
        <v>0</v>
      </c>
      <c r="H187" s="562">
        <v>0</v>
      </c>
      <c r="I187" s="561">
        <f>C187+E187+G187</f>
        <v>0</v>
      </c>
      <c r="J187" s="561">
        <f>D187+F187+H187</f>
        <v>0</v>
      </c>
      <c r="K187" s="562">
        <f>K182+I187</f>
        <v>0</v>
      </c>
      <c r="L187" s="563">
        <f>L182+J187</f>
        <v>0</v>
      </c>
    </row>
    <row r="188" spans="1:12" ht="15" thickBot="1">
      <c r="A188" s="1737" t="s">
        <v>3062</v>
      </c>
      <c r="B188" s="1738"/>
      <c r="C188" s="395">
        <f t="shared" ref="C188:L188" si="30">SUM(C186:C187)</f>
        <v>0</v>
      </c>
      <c r="D188" s="395">
        <f t="shared" si="30"/>
        <v>0</v>
      </c>
      <c r="E188" s="395">
        <f t="shared" si="30"/>
        <v>0</v>
      </c>
      <c r="F188" s="395">
        <f t="shared" si="30"/>
        <v>0</v>
      </c>
      <c r="G188" s="395">
        <f t="shared" si="30"/>
        <v>0</v>
      </c>
      <c r="H188" s="395">
        <f t="shared" si="30"/>
        <v>0</v>
      </c>
      <c r="I188" s="395">
        <f t="shared" si="30"/>
        <v>0</v>
      </c>
      <c r="J188" s="395">
        <f t="shared" si="30"/>
        <v>0</v>
      </c>
      <c r="K188" s="395">
        <f t="shared" si="30"/>
        <v>0</v>
      </c>
      <c r="L188" s="396">
        <f t="shared" si="30"/>
        <v>0</v>
      </c>
    </row>
    <row r="189" spans="1:12">
      <c r="A189" s="1778" t="s">
        <v>3544</v>
      </c>
      <c r="B189" s="1775" t="s">
        <v>3052</v>
      </c>
      <c r="C189" s="1777" t="s">
        <v>3071</v>
      </c>
      <c r="D189" s="1740"/>
      <c r="E189" s="1744" t="s">
        <v>3072</v>
      </c>
      <c r="F189" s="1745"/>
      <c r="G189" s="1739" t="s">
        <v>3073</v>
      </c>
      <c r="H189" s="1740"/>
      <c r="I189" s="1739" t="s">
        <v>3074</v>
      </c>
      <c r="J189" s="1740"/>
      <c r="K189" s="1739" t="s">
        <v>3057</v>
      </c>
      <c r="L189" s="1749"/>
    </row>
    <row r="190" spans="1:12" ht="24.75" thickBot="1">
      <c r="A190" s="1779"/>
      <c r="B190" s="1776"/>
      <c r="C190" s="383" t="s">
        <v>3058</v>
      </c>
      <c r="D190" s="384" t="s">
        <v>3059</v>
      </c>
      <c r="E190" s="383" t="s">
        <v>3058</v>
      </c>
      <c r="F190" s="384" t="s">
        <v>3059</v>
      </c>
      <c r="G190" s="383" t="s">
        <v>3058</v>
      </c>
      <c r="H190" s="384" t="s">
        <v>3059</v>
      </c>
      <c r="I190" s="383" t="s">
        <v>3058</v>
      </c>
      <c r="J190" s="384" t="s">
        <v>3059</v>
      </c>
      <c r="K190" s="383" t="s">
        <v>3058</v>
      </c>
      <c r="L190" s="385" t="s">
        <v>3059</v>
      </c>
    </row>
    <row r="191" spans="1:12">
      <c r="A191" s="386">
        <v>1</v>
      </c>
      <c r="B191" s="387" t="s">
        <v>3060</v>
      </c>
      <c r="C191" s="388">
        <v>0</v>
      </c>
      <c r="D191" s="388">
        <v>0</v>
      </c>
      <c r="E191" s="388">
        <v>0</v>
      </c>
      <c r="F191" s="388">
        <v>0</v>
      </c>
      <c r="G191" s="561">
        <v>0</v>
      </c>
      <c r="H191" s="561">
        <v>0</v>
      </c>
      <c r="I191" s="561">
        <f>C191+E191+G191</f>
        <v>0</v>
      </c>
      <c r="J191" s="561">
        <f>D191+F191+H191</f>
        <v>0</v>
      </c>
      <c r="K191" s="561">
        <f>K186+I191</f>
        <v>0</v>
      </c>
      <c r="L191" s="390">
        <f>L186+J191</f>
        <v>0</v>
      </c>
    </row>
    <row r="192" spans="1:12">
      <c r="A192" s="391">
        <v>2</v>
      </c>
      <c r="B192" s="392" t="s">
        <v>3061</v>
      </c>
      <c r="C192" s="393">
        <v>0</v>
      </c>
      <c r="D192" s="393">
        <v>0</v>
      </c>
      <c r="E192" s="393">
        <v>0</v>
      </c>
      <c r="F192" s="393">
        <v>0</v>
      </c>
      <c r="G192" s="562">
        <v>0</v>
      </c>
      <c r="H192" s="562">
        <v>0</v>
      </c>
      <c r="I192" s="561">
        <f>C192+E192+G192</f>
        <v>0</v>
      </c>
      <c r="J192" s="561">
        <f>D192+F192+H192</f>
        <v>0</v>
      </c>
      <c r="K192" s="562">
        <f>K187+I192</f>
        <v>0</v>
      </c>
      <c r="L192" s="563">
        <f>L187+J192</f>
        <v>0</v>
      </c>
    </row>
    <row r="193" spans="1:12" ht="15" thickBot="1">
      <c r="A193" s="1737" t="s">
        <v>3062</v>
      </c>
      <c r="B193" s="1738"/>
      <c r="C193" s="399">
        <f t="shared" ref="C193:L193" si="31">SUM(C191:C192)</f>
        <v>0</v>
      </c>
      <c r="D193" s="399">
        <f t="shared" si="31"/>
        <v>0</v>
      </c>
      <c r="E193" s="399">
        <f t="shared" si="31"/>
        <v>0</v>
      </c>
      <c r="F193" s="399">
        <f t="shared" si="31"/>
        <v>0</v>
      </c>
      <c r="G193" s="399">
        <f t="shared" si="31"/>
        <v>0</v>
      </c>
      <c r="H193" s="399">
        <f t="shared" si="31"/>
        <v>0</v>
      </c>
      <c r="I193" s="399">
        <f t="shared" si="31"/>
        <v>0</v>
      </c>
      <c r="J193" s="399">
        <f t="shared" si="31"/>
        <v>0</v>
      </c>
      <c r="K193" s="399">
        <f t="shared" si="31"/>
        <v>0</v>
      </c>
      <c r="L193" s="400">
        <f t="shared" si="31"/>
        <v>0</v>
      </c>
    </row>
  </sheetData>
  <mergeCells count="264">
    <mergeCell ref="K184:L184"/>
    <mergeCell ref="I184:J184"/>
    <mergeCell ref="K189:L189"/>
    <mergeCell ref="C189:D189"/>
    <mergeCell ref="I189:J189"/>
    <mergeCell ref="E184:F184"/>
    <mergeCell ref="G184:H184"/>
    <mergeCell ref="C184:D184"/>
    <mergeCell ref="K179:L179"/>
    <mergeCell ref="B165:B166"/>
    <mergeCell ref="G179:H179"/>
    <mergeCell ref="B179:B180"/>
    <mergeCell ref="C165:D165"/>
    <mergeCell ref="G165:H165"/>
    <mergeCell ref="E174:F174"/>
    <mergeCell ref="A169:B169"/>
    <mergeCell ref="E165:F165"/>
    <mergeCell ref="A172:L172"/>
    <mergeCell ref="I165:J165"/>
    <mergeCell ref="A165:A166"/>
    <mergeCell ref="G174:H174"/>
    <mergeCell ref="C174:D174"/>
    <mergeCell ref="A174:A175"/>
    <mergeCell ref="B174:B175"/>
    <mergeCell ref="A178:B178"/>
    <mergeCell ref="K165:L165"/>
    <mergeCell ref="K174:L174"/>
    <mergeCell ref="I174:J174"/>
    <mergeCell ref="A193:B193"/>
    <mergeCell ref="A184:A185"/>
    <mergeCell ref="B184:B185"/>
    <mergeCell ref="A189:A190"/>
    <mergeCell ref="B189:B190"/>
    <mergeCell ref="A188:B188"/>
    <mergeCell ref="I179:J179"/>
    <mergeCell ref="E179:F179"/>
    <mergeCell ref="A183:B183"/>
    <mergeCell ref="C179:D179"/>
    <mergeCell ref="E189:F189"/>
    <mergeCell ref="G189:H189"/>
    <mergeCell ref="A179:A180"/>
    <mergeCell ref="A164:B164"/>
    <mergeCell ref="B136:B137"/>
    <mergeCell ref="B150:B151"/>
    <mergeCell ref="A145:B145"/>
    <mergeCell ref="A148:L148"/>
    <mergeCell ref="A150:A151"/>
    <mergeCell ref="K150:L150"/>
    <mergeCell ref="K160:L160"/>
    <mergeCell ref="A155:A156"/>
    <mergeCell ref="C141:D141"/>
    <mergeCell ref="A159:B159"/>
    <mergeCell ref="C155:D155"/>
    <mergeCell ref="A160:A161"/>
    <mergeCell ref="G160:H160"/>
    <mergeCell ref="B160:B161"/>
    <mergeCell ref="E155:F155"/>
    <mergeCell ref="K155:L155"/>
    <mergeCell ref="A141:A142"/>
    <mergeCell ref="I150:J150"/>
    <mergeCell ref="G150:H150"/>
    <mergeCell ref="B141:B142"/>
    <mergeCell ref="E150:F150"/>
    <mergeCell ref="C150:D150"/>
    <mergeCell ref="I155:J155"/>
    <mergeCell ref="G155:H155"/>
    <mergeCell ref="B155:B156"/>
    <mergeCell ref="I160:J160"/>
    <mergeCell ref="E160:F160"/>
    <mergeCell ref="C160:D160"/>
    <mergeCell ref="A154:B154"/>
    <mergeCell ref="C136:D136"/>
    <mergeCell ref="I136:J136"/>
    <mergeCell ref="G141:H141"/>
    <mergeCell ref="A135:B135"/>
    <mergeCell ref="A140:B140"/>
    <mergeCell ref="A136:A137"/>
    <mergeCell ref="E141:F141"/>
    <mergeCell ref="I141:J141"/>
    <mergeCell ref="G136:H136"/>
    <mergeCell ref="K131:L131"/>
    <mergeCell ref="G131:H131"/>
    <mergeCell ref="I131:J131"/>
    <mergeCell ref="K141:L141"/>
    <mergeCell ref="K136:L136"/>
    <mergeCell ref="A131:A132"/>
    <mergeCell ref="B131:B132"/>
    <mergeCell ref="E131:F131"/>
    <mergeCell ref="C131:D131"/>
    <mergeCell ref="E136:F136"/>
    <mergeCell ref="B112:B113"/>
    <mergeCell ref="C112:D112"/>
    <mergeCell ref="A111:B111"/>
    <mergeCell ref="K117:L117"/>
    <mergeCell ref="G117:H117"/>
    <mergeCell ref="I126:J126"/>
    <mergeCell ref="I117:J117"/>
    <mergeCell ref="I107:J107"/>
    <mergeCell ref="K112:L112"/>
    <mergeCell ref="I112:J112"/>
    <mergeCell ref="G112:H112"/>
    <mergeCell ref="C107:D107"/>
    <mergeCell ref="A121:B121"/>
    <mergeCell ref="G102:H102"/>
    <mergeCell ref="I102:J102"/>
    <mergeCell ref="B102:B103"/>
    <mergeCell ref="E117:F117"/>
    <mergeCell ref="C117:D117"/>
    <mergeCell ref="B117:B118"/>
    <mergeCell ref="A116:B116"/>
    <mergeCell ref="A130:B130"/>
    <mergeCell ref="C126:D126"/>
    <mergeCell ref="A124:L124"/>
    <mergeCell ref="K126:L126"/>
    <mergeCell ref="B126:B127"/>
    <mergeCell ref="E126:F126"/>
    <mergeCell ref="A126:A127"/>
    <mergeCell ref="G126:H126"/>
    <mergeCell ref="K107:L107"/>
    <mergeCell ref="E107:F107"/>
    <mergeCell ref="G107:H107"/>
    <mergeCell ref="E112:F112"/>
    <mergeCell ref="A117:A118"/>
    <mergeCell ref="A107:A108"/>
    <mergeCell ref="B107:B108"/>
    <mergeCell ref="A112:A113"/>
    <mergeCell ref="A106:B106"/>
    <mergeCell ref="G93:H93"/>
    <mergeCell ref="A97:B97"/>
    <mergeCell ref="B93:B94"/>
    <mergeCell ref="A93:A94"/>
    <mergeCell ref="C93:D93"/>
    <mergeCell ref="E93:F93"/>
    <mergeCell ref="A102:A103"/>
    <mergeCell ref="E102:F102"/>
    <mergeCell ref="C102:D102"/>
    <mergeCell ref="K102:L102"/>
    <mergeCell ref="E88:F88"/>
    <mergeCell ref="E78:F78"/>
    <mergeCell ref="K93:L93"/>
    <mergeCell ref="I93:J93"/>
    <mergeCell ref="A100:L100"/>
    <mergeCell ref="C88:D88"/>
    <mergeCell ref="I88:J88"/>
    <mergeCell ref="G88:H88"/>
    <mergeCell ref="K88:L88"/>
    <mergeCell ref="I83:J83"/>
    <mergeCell ref="I78:J78"/>
    <mergeCell ref="K78:L78"/>
    <mergeCell ref="A88:A89"/>
    <mergeCell ref="B88:B89"/>
    <mergeCell ref="A92:B92"/>
    <mergeCell ref="A82:B82"/>
    <mergeCell ref="A78:A79"/>
    <mergeCell ref="A83:A84"/>
    <mergeCell ref="A87:B87"/>
    <mergeCell ref="B83:B84"/>
    <mergeCell ref="C78:D78"/>
    <mergeCell ref="G83:H83"/>
    <mergeCell ref="G78:H78"/>
    <mergeCell ref="C83:D83"/>
    <mergeCell ref="B78:B79"/>
    <mergeCell ref="A63:B63"/>
    <mergeCell ref="E59:F59"/>
    <mergeCell ref="C64:D64"/>
    <mergeCell ref="B59:B60"/>
    <mergeCell ref="A64:A65"/>
    <mergeCell ref="A59:A60"/>
    <mergeCell ref="C59:D59"/>
    <mergeCell ref="A68:B68"/>
    <mergeCell ref="A73:B73"/>
    <mergeCell ref="K69:L69"/>
    <mergeCell ref="G69:H69"/>
    <mergeCell ref="I69:J69"/>
    <mergeCell ref="A69:A70"/>
    <mergeCell ref="E69:F69"/>
    <mergeCell ref="C69:D69"/>
    <mergeCell ref="B69:B70"/>
    <mergeCell ref="E83:F83"/>
    <mergeCell ref="I64:J64"/>
    <mergeCell ref="G64:H64"/>
    <mergeCell ref="E64:F64"/>
    <mergeCell ref="K64:L64"/>
    <mergeCell ref="B64:B65"/>
    <mergeCell ref="A76:L76"/>
    <mergeCell ref="K83:L83"/>
    <mergeCell ref="G59:H59"/>
    <mergeCell ref="A54:A55"/>
    <mergeCell ref="I54:J54"/>
    <mergeCell ref="G54:H54"/>
    <mergeCell ref="E54:F54"/>
    <mergeCell ref="K59:L59"/>
    <mergeCell ref="I59:J59"/>
    <mergeCell ref="A58:B58"/>
    <mergeCell ref="A44:B44"/>
    <mergeCell ref="A49:B49"/>
    <mergeCell ref="A52:L52"/>
    <mergeCell ref="B54:B55"/>
    <mergeCell ref="K54:L54"/>
    <mergeCell ref="C54:D54"/>
    <mergeCell ref="A28:L28"/>
    <mergeCell ref="B45:B46"/>
    <mergeCell ref="G45:H45"/>
    <mergeCell ref="G40:H40"/>
    <mergeCell ref="E45:F45"/>
    <mergeCell ref="A45:A46"/>
    <mergeCell ref="C45:D45"/>
    <mergeCell ref="K35:L35"/>
    <mergeCell ref="A34:B34"/>
    <mergeCell ref="A35:A36"/>
    <mergeCell ref="K30:L30"/>
    <mergeCell ref="K40:L40"/>
    <mergeCell ref="I40:J40"/>
    <mergeCell ref="G35:H35"/>
    <mergeCell ref="I35:J35"/>
    <mergeCell ref="A30:A31"/>
    <mergeCell ref="E35:F35"/>
    <mergeCell ref="B35:B36"/>
    <mergeCell ref="K45:L45"/>
    <mergeCell ref="I45:J45"/>
    <mergeCell ref="B30:B31"/>
    <mergeCell ref="C30:D30"/>
    <mergeCell ref="I30:J30"/>
    <mergeCell ref="G30:H30"/>
    <mergeCell ref="E30:F30"/>
    <mergeCell ref="C40:D40"/>
    <mergeCell ref="E40:F40"/>
    <mergeCell ref="C35:D35"/>
    <mergeCell ref="B40:B41"/>
    <mergeCell ref="A39:B39"/>
    <mergeCell ref="A40:A41"/>
    <mergeCell ref="K16:L16"/>
    <mergeCell ref="C11:D11"/>
    <mergeCell ref="I16:J16"/>
    <mergeCell ref="C16:D16"/>
    <mergeCell ref="G16:H16"/>
    <mergeCell ref="G11:H11"/>
    <mergeCell ref="E16:F16"/>
    <mergeCell ref="E11:F11"/>
    <mergeCell ref="B21:B22"/>
    <mergeCell ref="A25:B25"/>
    <mergeCell ref="G21:H21"/>
    <mergeCell ref="A21:A22"/>
    <mergeCell ref="C21:D21"/>
    <mergeCell ref="A11:A12"/>
    <mergeCell ref="E21:F21"/>
    <mergeCell ref="A4:L4"/>
    <mergeCell ref="A6:A7"/>
    <mergeCell ref="B6:B7"/>
    <mergeCell ref="C6:D6"/>
    <mergeCell ref="E6:F6"/>
    <mergeCell ref="G6:H6"/>
    <mergeCell ref="K6:L6"/>
    <mergeCell ref="I6:J6"/>
    <mergeCell ref="A16:A17"/>
    <mergeCell ref="B16:B17"/>
    <mergeCell ref="A10:B10"/>
    <mergeCell ref="A20:B20"/>
    <mergeCell ref="A15:B15"/>
    <mergeCell ref="K21:L21"/>
    <mergeCell ref="I21:J21"/>
    <mergeCell ref="B11:B12"/>
    <mergeCell ref="I11:J11"/>
    <mergeCell ref="K11:L11"/>
  </mergeCells>
  <phoneticPr fontId="0" type="noConversion"/>
  <hyperlinks>
    <hyperlink ref="B1" location="Главная!A1" display="Переход на главную страницу"/>
  </hyperlinks>
  <pageMargins left="0.39370078740157483" right="0.39370078740157483" top="0.74803149606299213" bottom="0.74803149606299213" header="0.31496062992125984" footer="0.31496062992125984"/>
  <pageSetup paperSize="9" scale="95" orientation="landscape" r:id="rId1"/>
  <rowBreaks count="7" manualBreakCount="7">
    <brk id="26" max="16383" man="1"/>
    <brk id="50" max="16383" man="1"/>
    <brk id="75" max="16383" man="1"/>
    <brk id="99" max="16383" man="1"/>
    <brk id="123" max="16383" man="1"/>
    <brk id="147" max="16383" man="1"/>
    <brk id="171" max="16383" man="1"/>
  </rowBreaks>
</worksheet>
</file>

<file path=xl/worksheets/sheet2.xml><?xml version="1.0" encoding="utf-8"?>
<worksheet xmlns="http://schemas.openxmlformats.org/spreadsheetml/2006/main" xmlns:r="http://schemas.openxmlformats.org/officeDocument/2006/relationships">
  <sheetPr>
    <tabColor indexed="22"/>
  </sheetPr>
  <dimension ref="A1:A25"/>
  <sheetViews>
    <sheetView showGridLines="0" topLeftCell="A18" zoomScale="70" zoomScaleNormal="70" workbookViewId="0">
      <selection activeCell="A20" sqref="A20"/>
    </sheetView>
  </sheetViews>
  <sheetFormatPr defaultRowHeight="15"/>
  <cols>
    <col min="1" max="1" width="102.85546875" customWidth="1"/>
  </cols>
  <sheetData>
    <row r="1" spans="1:1" ht="33.75" customHeight="1">
      <c r="A1" s="79" t="s">
        <v>724</v>
      </c>
    </row>
    <row r="2" spans="1:1">
      <c r="A2" s="80" t="s">
        <v>725</v>
      </c>
    </row>
    <row r="3" spans="1:1" ht="105">
      <c r="A3" s="81" t="s">
        <v>726</v>
      </c>
    </row>
    <row r="4" spans="1:1" ht="113.25" customHeight="1">
      <c r="A4" s="81" t="s">
        <v>2020</v>
      </c>
    </row>
    <row r="5" spans="1:1" ht="123" customHeight="1">
      <c r="A5" s="81" t="s">
        <v>2021</v>
      </c>
    </row>
    <row r="6" spans="1:1" ht="117" customHeight="1">
      <c r="A6" s="81" t="s">
        <v>4161</v>
      </c>
    </row>
    <row r="7" spans="1:1" ht="135">
      <c r="A7" s="81" t="s">
        <v>4162</v>
      </c>
    </row>
    <row r="8" spans="1:1" ht="135">
      <c r="A8" s="81" t="s">
        <v>4163</v>
      </c>
    </row>
    <row r="9" spans="1:1" ht="195">
      <c r="A9" s="81" t="s">
        <v>2522</v>
      </c>
    </row>
    <row r="10" spans="1:1" ht="195">
      <c r="A10" s="81" t="s">
        <v>2523</v>
      </c>
    </row>
    <row r="11" spans="1:1" ht="180">
      <c r="A11" s="82" t="s">
        <v>2524</v>
      </c>
    </row>
    <row r="12" spans="1:1" ht="180">
      <c r="A12" s="82" t="s">
        <v>2525</v>
      </c>
    </row>
    <row r="13" spans="1:1" ht="165">
      <c r="A13" s="82" t="s">
        <v>2526</v>
      </c>
    </row>
    <row r="14" spans="1:1" ht="165">
      <c r="A14" s="82" t="s">
        <v>2527</v>
      </c>
    </row>
    <row r="15" spans="1:1" ht="165">
      <c r="A15" s="82" t="s">
        <v>2528</v>
      </c>
    </row>
    <row r="16" spans="1:1" ht="165">
      <c r="A16" s="82" t="s">
        <v>2529</v>
      </c>
    </row>
    <row r="17" spans="1:1" ht="105">
      <c r="A17" s="82" t="s">
        <v>2530</v>
      </c>
    </row>
    <row r="18" spans="1:1" ht="195">
      <c r="A18" s="82" t="s">
        <v>2531</v>
      </c>
    </row>
    <row r="19" spans="1:1" ht="195">
      <c r="A19" s="82" t="s">
        <v>2765</v>
      </c>
    </row>
    <row r="20" spans="1:1" ht="105">
      <c r="A20" s="82" t="s">
        <v>2766</v>
      </c>
    </row>
    <row r="21" spans="1:1" ht="90">
      <c r="A21" s="82" t="s">
        <v>2767</v>
      </c>
    </row>
    <row r="22" spans="1:1" ht="225">
      <c r="A22" s="82" t="s">
        <v>1992</v>
      </c>
    </row>
    <row r="23" spans="1:1" ht="225">
      <c r="A23" s="82" t="s">
        <v>1993</v>
      </c>
    </row>
    <row r="25" spans="1:1" ht="75">
      <c r="A25" s="83" t="s">
        <v>1455</v>
      </c>
    </row>
  </sheetData>
  <phoneticPr fontId="0" type="noConversion"/>
  <hyperlinks>
    <hyperlink ref="A1" location="Главная!A1" display="Переход на главную страницу"/>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L193"/>
  <sheetViews>
    <sheetView view="pageBreakPreview" topLeftCell="A170" zoomScaleNormal="100" zoomScaleSheetLayoutView="100" workbookViewId="0">
      <selection activeCell="A195" sqref="A195"/>
    </sheetView>
  </sheetViews>
  <sheetFormatPr defaultRowHeight="14.25"/>
  <cols>
    <col min="1" max="1" width="4.5703125" style="319" customWidth="1"/>
    <col min="2" max="2" width="16.5703125" style="319" customWidth="1"/>
    <col min="3" max="12" width="11.140625" style="319" customWidth="1"/>
    <col min="13" max="16384" width="9.140625" style="319"/>
  </cols>
  <sheetData>
    <row r="1" spans="1:12" ht="15.75">
      <c r="B1" s="79" t="s">
        <v>724</v>
      </c>
      <c r="L1" s="319" t="s">
        <v>3695</v>
      </c>
    </row>
    <row r="2" spans="1:12">
      <c r="A2" s="382"/>
      <c r="B2" s="382"/>
      <c r="C2" s="382"/>
      <c r="D2" s="382"/>
      <c r="E2" s="382"/>
      <c r="F2" s="382"/>
      <c r="G2" s="382"/>
      <c r="H2" s="382"/>
      <c r="I2" s="382"/>
      <c r="J2" s="382"/>
      <c r="K2" s="382"/>
      <c r="L2" s="382"/>
    </row>
    <row r="3" spans="1:12">
      <c r="A3" s="382"/>
      <c r="B3" s="382"/>
      <c r="C3" s="382"/>
      <c r="D3" s="382"/>
      <c r="E3" s="382"/>
      <c r="F3" s="382"/>
      <c r="G3" s="382"/>
      <c r="H3" s="382"/>
      <c r="I3" s="382"/>
      <c r="J3" s="382"/>
      <c r="K3" s="382"/>
      <c r="L3" s="382"/>
    </row>
    <row r="4" spans="1:12">
      <c r="A4" s="1651" t="s">
        <v>3696</v>
      </c>
      <c r="B4" s="1651"/>
      <c r="C4" s="1651"/>
      <c r="D4" s="1651"/>
      <c r="E4" s="1651"/>
      <c r="F4" s="1651"/>
      <c r="G4" s="1651"/>
      <c r="H4" s="1651"/>
      <c r="I4" s="1651"/>
      <c r="J4" s="1651"/>
      <c r="K4" s="1651"/>
      <c r="L4" s="1651"/>
    </row>
    <row r="5" spans="1:12" ht="15" thickBot="1">
      <c r="A5" s="382"/>
      <c r="B5" s="382"/>
      <c r="C5" s="382"/>
      <c r="D5" s="382"/>
      <c r="E5" s="382"/>
      <c r="F5" s="382"/>
      <c r="G5" s="382"/>
      <c r="H5" s="382"/>
      <c r="I5" s="382"/>
      <c r="J5" s="382"/>
      <c r="K5" s="382"/>
      <c r="L5" s="382"/>
    </row>
    <row r="6" spans="1:12">
      <c r="A6" s="1741" t="s">
        <v>3544</v>
      </c>
      <c r="B6" s="1747" t="s">
        <v>3052</v>
      </c>
      <c r="C6" s="1743" t="s">
        <v>3053</v>
      </c>
      <c r="D6" s="1740"/>
      <c r="E6" s="1744" t="s">
        <v>3054</v>
      </c>
      <c r="F6" s="1745"/>
      <c r="G6" s="1739" t="s">
        <v>3055</v>
      </c>
      <c r="H6" s="1740"/>
      <c r="I6" s="1739" t="s">
        <v>3056</v>
      </c>
      <c r="J6" s="1740"/>
      <c r="K6" s="1739" t="s">
        <v>3057</v>
      </c>
      <c r="L6" s="1749"/>
    </row>
    <row r="7" spans="1:12" ht="24.75" thickBot="1">
      <c r="A7" s="1742"/>
      <c r="B7" s="1748"/>
      <c r="C7" s="383" t="s">
        <v>3058</v>
      </c>
      <c r="D7" s="384" t="s">
        <v>3059</v>
      </c>
      <c r="E7" s="383" t="s">
        <v>3058</v>
      </c>
      <c r="F7" s="384" t="s">
        <v>3059</v>
      </c>
      <c r="G7" s="383" t="s">
        <v>3058</v>
      </c>
      <c r="H7" s="384" t="s">
        <v>3059</v>
      </c>
      <c r="I7" s="383" t="s">
        <v>3058</v>
      </c>
      <c r="J7" s="384" t="s">
        <v>3059</v>
      </c>
      <c r="K7" s="383" t="s">
        <v>3058</v>
      </c>
      <c r="L7" s="385" t="s">
        <v>3059</v>
      </c>
    </row>
    <row r="8" spans="1:12">
      <c r="A8" s="386">
        <v>1</v>
      </c>
      <c r="B8" s="387" t="s">
        <v>3060</v>
      </c>
      <c r="C8" s="388">
        <v>0</v>
      </c>
      <c r="D8" s="388">
        <v>0</v>
      </c>
      <c r="E8" s="388">
        <v>0</v>
      </c>
      <c r="F8" s="388">
        <v>0</v>
      </c>
      <c r="G8" s="561">
        <v>0</v>
      </c>
      <c r="H8" s="561">
        <v>0</v>
      </c>
      <c r="I8" s="561">
        <f>C8+E8+G8</f>
        <v>0</v>
      </c>
      <c r="J8" s="561">
        <f>D8+F8+H8</f>
        <v>0</v>
      </c>
      <c r="K8" s="561">
        <f>I8</f>
        <v>0</v>
      </c>
      <c r="L8" s="390">
        <f>J8</f>
        <v>0</v>
      </c>
    </row>
    <row r="9" spans="1:12">
      <c r="A9" s="391">
        <v>2</v>
      </c>
      <c r="B9" s="392" t="s">
        <v>3061</v>
      </c>
      <c r="C9" s="393">
        <v>0</v>
      </c>
      <c r="D9" s="393">
        <v>0</v>
      </c>
      <c r="E9" s="393">
        <v>0</v>
      </c>
      <c r="F9" s="393">
        <v>0</v>
      </c>
      <c r="G9" s="562">
        <v>0</v>
      </c>
      <c r="H9" s="562">
        <v>0</v>
      </c>
      <c r="I9" s="561">
        <f>C9+E9+G9</f>
        <v>0</v>
      </c>
      <c r="J9" s="561">
        <f>D9+F9+H9</f>
        <v>0</v>
      </c>
      <c r="K9" s="561">
        <f>I9</f>
        <v>0</v>
      </c>
      <c r="L9" s="390">
        <f>J9</f>
        <v>0</v>
      </c>
    </row>
    <row r="10" spans="1:12" ht="15" thickBot="1">
      <c r="A10" s="1750" t="s">
        <v>3062</v>
      </c>
      <c r="B10" s="1751"/>
      <c r="C10" s="395">
        <f t="shared" ref="C10:L10" si="0">SUM(C8:C9)</f>
        <v>0</v>
      </c>
      <c r="D10" s="395">
        <f t="shared" si="0"/>
        <v>0</v>
      </c>
      <c r="E10" s="395">
        <f t="shared" si="0"/>
        <v>0</v>
      </c>
      <c r="F10" s="395">
        <f t="shared" si="0"/>
        <v>0</v>
      </c>
      <c r="G10" s="395">
        <f t="shared" si="0"/>
        <v>0</v>
      </c>
      <c r="H10" s="395">
        <f t="shared" si="0"/>
        <v>0</v>
      </c>
      <c r="I10" s="395">
        <f t="shared" si="0"/>
        <v>0</v>
      </c>
      <c r="J10" s="395">
        <f t="shared" si="0"/>
        <v>0</v>
      </c>
      <c r="K10" s="395">
        <f t="shared" si="0"/>
        <v>0</v>
      </c>
      <c r="L10" s="396">
        <f t="shared" si="0"/>
        <v>0</v>
      </c>
    </row>
    <row r="11" spans="1:12">
      <c r="A11" s="1741" t="s">
        <v>3544</v>
      </c>
      <c r="B11" s="1747" t="s">
        <v>3052</v>
      </c>
      <c r="C11" s="1743" t="s">
        <v>3063</v>
      </c>
      <c r="D11" s="1740"/>
      <c r="E11" s="1744" t="s">
        <v>3064</v>
      </c>
      <c r="F11" s="1745"/>
      <c r="G11" s="1739" t="s">
        <v>3065</v>
      </c>
      <c r="H11" s="1740"/>
      <c r="I11" s="1739" t="s">
        <v>3066</v>
      </c>
      <c r="J11" s="1740"/>
      <c r="K11" s="1739" t="s">
        <v>3057</v>
      </c>
      <c r="L11" s="1749"/>
    </row>
    <row r="12" spans="1:12" ht="24.75" thickBot="1">
      <c r="A12" s="1742"/>
      <c r="B12" s="1748"/>
      <c r="C12" s="383" t="s">
        <v>3058</v>
      </c>
      <c r="D12" s="384" t="s">
        <v>3059</v>
      </c>
      <c r="E12" s="383" t="s">
        <v>3058</v>
      </c>
      <c r="F12" s="384" t="s">
        <v>3059</v>
      </c>
      <c r="G12" s="383" t="s">
        <v>3058</v>
      </c>
      <c r="H12" s="384" t="s">
        <v>3059</v>
      </c>
      <c r="I12" s="383" t="s">
        <v>3058</v>
      </c>
      <c r="J12" s="384" t="s">
        <v>3059</v>
      </c>
      <c r="K12" s="383" t="s">
        <v>3058</v>
      </c>
      <c r="L12" s="385" t="s">
        <v>3059</v>
      </c>
    </row>
    <row r="13" spans="1:12">
      <c r="A13" s="386">
        <v>1</v>
      </c>
      <c r="B13" s="387" t="s">
        <v>3060</v>
      </c>
      <c r="C13" s="388">
        <v>0</v>
      </c>
      <c r="D13" s="388">
        <v>0</v>
      </c>
      <c r="E13" s="388">
        <v>0</v>
      </c>
      <c r="F13" s="388">
        <v>0</v>
      </c>
      <c r="G13" s="561">
        <v>0</v>
      </c>
      <c r="H13" s="561">
        <v>0</v>
      </c>
      <c r="I13" s="561">
        <f>C13+E13+G13</f>
        <v>0</v>
      </c>
      <c r="J13" s="561">
        <f>D13+F13+H13</f>
        <v>0</v>
      </c>
      <c r="K13" s="561">
        <f>K8+I13</f>
        <v>0</v>
      </c>
      <c r="L13" s="390">
        <f>L8+J13</f>
        <v>0</v>
      </c>
    </row>
    <row r="14" spans="1:12">
      <c r="A14" s="391">
        <v>2</v>
      </c>
      <c r="B14" s="392" t="s">
        <v>3061</v>
      </c>
      <c r="C14" s="393">
        <v>0</v>
      </c>
      <c r="D14" s="393">
        <v>0</v>
      </c>
      <c r="E14" s="393">
        <v>0</v>
      </c>
      <c r="F14" s="393">
        <v>0</v>
      </c>
      <c r="G14" s="562">
        <v>0</v>
      </c>
      <c r="H14" s="562">
        <v>0</v>
      </c>
      <c r="I14" s="561">
        <f>C14+E14+G14</f>
        <v>0</v>
      </c>
      <c r="J14" s="561">
        <f>D14+F14+H14</f>
        <v>0</v>
      </c>
      <c r="K14" s="562">
        <f>K9+I14</f>
        <v>0</v>
      </c>
      <c r="L14" s="563">
        <f>L9+J14</f>
        <v>0</v>
      </c>
    </row>
    <row r="15" spans="1:12" ht="15" thickBot="1">
      <c r="A15" s="1750" t="s">
        <v>3062</v>
      </c>
      <c r="B15" s="1751"/>
      <c r="C15" s="395">
        <f t="shared" ref="C15:L15" si="1">SUM(C13:C14)</f>
        <v>0</v>
      </c>
      <c r="D15" s="395">
        <f t="shared" si="1"/>
        <v>0</v>
      </c>
      <c r="E15" s="395">
        <f t="shared" si="1"/>
        <v>0</v>
      </c>
      <c r="F15" s="395">
        <f t="shared" si="1"/>
        <v>0</v>
      </c>
      <c r="G15" s="395">
        <f t="shared" si="1"/>
        <v>0</v>
      </c>
      <c r="H15" s="395">
        <f t="shared" si="1"/>
        <v>0</v>
      </c>
      <c r="I15" s="395">
        <f t="shared" si="1"/>
        <v>0</v>
      </c>
      <c r="J15" s="395">
        <f t="shared" si="1"/>
        <v>0</v>
      </c>
      <c r="K15" s="395">
        <f t="shared" si="1"/>
        <v>0</v>
      </c>
      <c r="L15" s="396">
        <f t="shared" si="1"/>
        <v>0</v>
      </c>
    </row>
    <row r="16" spans="1:12">
      <c r="A16" s="1741" t="s">
        <v>3544</v>
      </c>
      <c r="B16" s="1747" t="s">
        <v>3052</v>
      </c>
      <c r="C16" s="1743" t="s">
        <v>3067</v>
      </c>
      <c r="D16" s="1740"/>
      <c r="E16" s="1744" t="s">
        <v>3068</v>
      </c>
      <c r="F16" s="1745"/>
      <c r="G16" s="1739" t="s">
        <v>3069</v>
      </c>
      <c r="H16" s="1740"/>
      <c r="I16" s="1739" t="s">
        <v>3070</v>
      </c>
      <c r="J16" s="1740"/>
      <c r="K16" s="1739" t="s">
        <v>3057</v>
      </c>
      <c r="L16" s="1749"/>
    </row>
    <row r="17" spans="1:12" ht="24.75" thickBot="1">
      <c r="A17" s="1742"/>
      <c r="B17" s="1748"/>
      <c r="C17" s="383" t="s">
        <v>3058</v>
      </c>
      <c r="D17" s="384" t="s">
        <v>3059</v>
      </c>
      <c r="E17" s="383" t="s">
        <v>3058</v>
      </c>
      <c r="F17" s="384" t="s">
        <v>3059</v>
      </c>
      <c r="G17" s="383" t="s">
        <v>3058</v>
      </c>
      <c r="H17" s="384" t="s">
        <v>3059</v>
      </c>
      <c r="I17" s="383" t="s">
        <v>3058</v>
      </c>
      <c r="J17" s="384" t="s">
        <v>3059</v>
      </c>
      <c r="K17" s="383" t="s">
        <v>3058</v>
      </c>
      <c r="L17" s="385" t="s">
        <v>3059</v>
      </c>
    </row>
    <row r="18" spans="1:12">
      <c r="A18" s="386">
        <v>1</v>
      </c>
      <c r="B18" s="387" t="s">
        <v>3060</v>
      </c>
      <c r="C18" s="388">
        <v>0</v>
      </c>
      <c r="D18" s="388">
        <v>0</v>
      </c>
      <c r="E18" s="388">
        <v>0</v>
      </c>
      <c r="F18" s="388">
        <v>0</v>
      </c>
      <c r="G18" s="561">
        <v>0</v>
      </c>
      <c r="H18" s="561">
        <v>0</v>
      </c>
      <c r="I18" s="561">
        <f>C18+E18+G18</f>
        <v>0</v>
      </c>
      <c r="J18" s="561">
        <f>D18+F18+H18</f>
        <v>0</v>
      </c>
      <c r="K18" s="561">
        <f>K13+I18</f>
        <v>0</v>
      </c>
      <c r="L18" s="390">
        <f>L13+J18</f>
        <v>0</v>
      </c>
    </row>
    <row r="19" spans="1:12">
      <c r="A19" s="391">
        <v>2</v>
      </c>
      <c r="B19" s="392" t="s">
        <v>3061</v>
      </c>
      <c r="C19" s="393">
        <v>0</v>
      </c>
      <c r="D19" s="393">
        <v>0</v>
      </c>
      <c r="E19" s="393">
        <v>0</v>
      </c>
      <c r="F19" s="393">
        <v>0</v>
      </c>
      <c r="G19" s="562">
        <v>0</v>
      </c>
      <c r="H19" s="562">
        <v>0</v>
      </c>
      <c r="I19" s="561">
        <f>C19+E19+G19</f>
        <v>0</v>
      </c>
      <c r="J19" s="561">
        <f>D19+F19+H19</f>
        <v>0</v>
      </c>
      <c r="K19" s="562">
        <f>K14+I19</f>
        <v>0</v>
      </c>
      <c r="L19" s="563">
        <f>L14+J19</f>
        <v>0</v>
      </c>
    </row>
    <row r="20" spans="1:12" ht="15" thickBot="1">
      <c r="A20" s="1750" t="s">
        <v>3062</v>
      </c>
      <c r="B20" s="1751"/>
      <c r="C20" s="395">
        <f t="shared" ref="C20:L20" si="2">SUM(C18:C19)</f>
        <v>0</v>
      </c>
      <c r="D20" s="395">
        <f t="shared" si="2"/>
        <v>0</v>
      </c>
      <c r="E20" s="395">
        <f t="shared" si="2"/>
        <v>0</v>
      </c>
      <c r="F20" s="395">
        <f t="shared" si="2"/>
        <v>0</v>
      </c>
      <c r="G20" s="395">
        <f t="shared" si="2"/>
        <v>0</v>
      </c>
      <c r="H20" s="395">
        <f t="shared" si="2"/>
        <v>0</v>
      </c>
      <c r="I20" s="395">
        <f t="shared" si="2"/>
        <v>0</v>
      </c>
      <c r="J20" s="395">
        <f t="shared" si="2"/>
        <v>0</v>
      </c>
      <c r="K20" s="395">
        <f t="shared" si="2"/>
        <v>0</v>
      </c>
      <c r="L20" s="396">
        <f t="shared" si="2"/>
        <v>0</v>
      </c>
    </row>
    <row r="21" spans="1:12">
      <c r="A21" s="1741" t="s">
        <v>3544</v>
      </c>
      <c r="B21" s="1747" t="s">
        <v>3052</v>
      </c>
      <c r="C21" s="1743" t="s">
        <v>3071</v>
      </c>
      <c r="D21" s="1740"/>
      <c r="E21" s="1744" t="s">
        <v>3072</v>
      </c>
      <c r="F21" s="1745"/>
      <c r="G21" s="1739" t="s">
        <v>3073</v>
      </c>
      <c r="H21" s="1740"/>
      <c r="I21" s="1739" t="s">
        <v>3074</v>
      </c>
      <c r="J21" s="1740"/>
      <c r="K21" s="1739" t="s">
        <v>3057</v>
      </c>
      <c r="L21" s="1749"/>
    </row>
    <row r="22" spans="1:12" ht="24.75" thickBot="1">
      <c r="A22" s="1742"/>
      <c r="B22" s="1748"/>
      <c r="C22" s="383" t="s">
        <v>3058</v>
      </c>
      <c r="D22" s="384" t="s">
        <v>3059</v>
      </c>
      <c r="E22" s="383" t="s">
        <v>3058</v>
      </c>
      <c r="F22" s="384" t="s">
        <v>3059</v>
      </c>
      <c r="G22" s="383" t="s">
        <v>3058</v>
      </c>
      <c r="H22" s="384" t="s">
        <v>3059</v>
      </c>
      <c r="I22" s="383" t="s">
        <v>3058</v>
      </c>
      <c r="J22" s="384" t="s">
        <v>3059</v>
      </c>
      <c r="K22" s="383" t="s">
        <v>3058</v>
      </c>
      <c r="L22" s="385" t="s">
        <v>3059</v>
      </c>
    </row>
    <row r="23" spans="1:12">
      <c r="A23" s="386">
        <v>1</v>
      </c>
      <c r="B23" s="387" t="s">
        <v>3060</v>
      </c>
      <c r="C23" s="388">
        <v>1</v>
      </c>
      <c r="D23" s="388">
        <v>105</v>
      </c>
      <c r="E23" s="388">
        <v>0</v>
      </c>
      <c r="F23" s="388">
        <v>0</v>
      </c>
      <c r="G23" s="561">
        <v>0</v>
      </c>
      <c r="H23" s="561">
        <v>0</v>
      </c>
      <c r="I23" s="561">
        <f>C23+E23+G23</f>
        <v>1</v>
      </c>
      <c r="J23" s="561">
        <f>D23+F23+H23</f>
        <v>105</v>
      </c>
      <c r="K23" s="561">
        <f>K18+I23</f>
        <v>1</v>
      </c>
      <c r="L23" s="390">
        <f>L18+J23</f>
        <v>105</v>
      </c>
    </row>
    <row r="24" spans="1:12">
      <c r="A24" s="391">
        <v>2</v>
      </c>
      <c r="B24" s="392" t="s">
        <v>3061</v>
      </c>
      <c r="C24" s="393">
        <v>0</v>
      </c>
      <c r="D24" s="393">
        <v>0</v>
      </c>
      <c r="E24" s="393">
        <v>0</v>
      </c>
      <c r="F24" s="393">
        <v>0</v>
      </c>
      <c r="G24" s="562">
        <v>0</v>
      </c>
      <c r="H24" s="562">
        <v>0</v>
      </c>
      <c r="I24" s="561">
        <f>C24+E24+G24</f>
        <v>0</v>
      </c>
      <c r="J24" s="561">
        <f>D24+F24+H24</f>
        <v>0</v>
      </c>
      <c r="K24" s="562">
        <f>K19+I24</f>
        <v>0</v>
      </c>
      <c r="L24" s="563">
        <f>L19+J24</f>
        <v>0</v>
      </c>
    </row>
    <row r="25" spans="1:12" ht="15" thickBot="1">
      <c r="A25" s="1737" t="s">
        <v>3062</v>
      </c>
      <c r="B25" s="1738"/>
      <c r="C25" s="399">
        <f t="shared" ref="C25:L25" si="3">SUM(C23:C24)</f>
        <v>1</v>
      </c>
      <c r="D25" s="399">
        <f t="shared" si="3"/>
        <v>105</v>
      </c>
      <c r="E25" s="399">
        <f t="shared" si="3"/>
        <v>0</v>
      </c>
      <c r="F25" s="399">
        <f t="shared" si="3"/>
        <v>0</v>
      </c>
      <c r="G25" s="399">
        <f t="shared" si="3"/>
        <v>0</v>
      </c>
      <c r="H25" s="399">
        <f t="shared" si="3"/>
        <v>0</v>
      </c>
      <c r="I25" s="399">
        <f t="shared" si="3"/>
        <v>1</v>
      </c>
      <c r="J25" s="399">
        <f t="shared" si="3"/>
        <v>105</v>
      </c>
      <c r="K25" s="399">
        <f t="shared" si="3"/>
        <v>1</v>
      </c>
      <c r="L25" s="400">
        <f t="shared" si="3"/>
        <v>105</v>
      </c>
    </row>
    <row r="26" spans="1:12">
      <c r="A26" s="382"/>
      <c r="B26" s="382"/>
      <c r="C26" s="382"/>
      <c r="D26" s="382"/>
      <c r="E26" s="382"/>
      <c r="F26" s="382"/>
      <c r="G26" s="382"/>
      <c r="H26" s="382"/>
      <c r="I26" s="382"/>
      <c r="J26" s="382"/>
      <c r="K26" s="382"/>
      <c r="L26" s="382"/>
    </row>
    <row r="27" spans="1:12">
      <c r="A27" s="382"/>
      <c r="B27" s="382"/>
      <c r="C27" s="382"/>
      <c r="D27" s="382"/>
      <c r="E27" s="382"/>
      <c r="F27" s="382"/>
      <c r="G27" s="382"/>
      <c r="H27" s="382"/>
      <c r="I27" s="382"/>
      <c r="J27" s="382"/>
      <c r="K27" s="382"/>
      <c r="L27" s="382"/>
    </row>
    <row r="28" spans="1:12">
      <c r="A28" s="1651" t="s">
        <v>1421</v>
      </c>
      <c r="B28" s="1651"/>
      <c r="C28" s="1651"/>
      <c r="D28" s="1651"/>
      <c r="E28" s="1651"/>
      <c r="F28" s="1651"/>
      <c r="G28" s="1651"/>
      <c r="H28" s="1651"/>
      <c r="I28" s="1651"/>
      <c r="J28" s="1651"/>
      <c r="K28" s="1651"/>
      <c r="L28" s="1651"/>
    </row>
    <row r="29" spans="1:12" ht="15" thickBot="1">
      <c r="A29" s="382"/>
      <c r="B29" s="382"/>
      <c r="C29" s="382"/>
      <c r="D29" s="382"/>
      <c r="E29" s="382"/>
      <c r="F29" s="382"/>
      <c r="G29" s="382"/>
      <c r="H29" s="382"/>
      <c r="I29" s="382"/>
      <c r="J29" s="382"/>
      <c r="K29" s="382"/>
      <c r="L29" s="382"/>
    </row>
    <row r="30" spans="1:12">
      <c r="A30" s="1741" t="s">
        <v>3544</v>
      </c>
      <c r="B30" s="1747" t="s">
        <v>3052</v>
      </c>
      <c r="C30" s="1743" t="s">
        <v>3053</v>
      </c>
      <c r="D30" s="1740"/>
      <c r="E30" s="1744" t="s">
        <v>3054</v>
      </c>
      <c r="F30" s="1745"/>
      <c r="G30" s="1739" t="s">
        <v>3055</v>
      </c>
      <c r="H30" s="1740"/>
      <c r="I30" s="1739" t="s">
        <v>3056</v>
      </c>
      <c r="J30" s="1740"/>
      <c r="K30" s="1739" t="s">
        <v>3057</v>
      </c>
      <c r="L30" s="1749"/>
    </row>
    <row r="31" spans="1:12" ht="24.75" thickBot="1">
      <c r="A31" s="1742"/>
      <c r="B31" s="1748"/>
      <c r="C31" s="383" t="s">
        <v>3058</v>
      </c>
      <c r="D31" s="384" t="s">
        <v>3059</v>
      </c>
      <c r="E31" s="383" t="s">
        <v>3058</v>
      </c>
      <c r="F31" s="384" t="s">
        <v>3059</v>
      </c>
      <c r="G31" s="383" t="s">
        <v>3058</v>
      </c>
      <c r="H31" s="384" t="s">
        <v>3059</v>
      </c>
      <c r="I31" s="383" t="s">
        <v>3058</v>
      </c>
      <c r="J31" s="384" t="s">
        <v>3059</v>
      </c>
      <c r="K31" s="383" t="s">
        <v>3058</v>
      </c>
      <c r="L31" s="385" t="s">
        <v>3059</v>
      </c>
    </row>
    <row r="32" spans="1:12">
      <c r="A32" s="386">
        <v>1</v>
      </c>
      <c r="B32" s="387" t="s">
        <v>3060</v>
      </c>
      <c r="C32" s="388">
        <v>0</v>
      </c>
      <c r="D32" s="388">
        <v>0</v>
      </c>
      <c r="E32" s="388">
        <v>0</v>
      </c>
      <c r="F32" s="388">
        <v>0</v>
      </c>
      <c r="G32" s="561">
        <v>0</v>
      </c>
      <c r="H32" s="561">
        <v>0</v>
      </c>
      <c r="I32" s="561">
        <f>C32+E32+G32</f>
        <v>0</v>
      </c>
      <c r="J32" s="561">
        <f>D32+F32+H32</f>
        <v>0</v>
      </c>
      <c r="K32" s="561">
        <f>I32</f>
        <v>0</v>
      </c>
      <c r="L32" s="390">
        <f>J32</f>
        <v>0</v>
      </c>
    </row>
    <row r="33" spans="1:12">
      <c r="A33" s="391">
        <v>2</v>
      </c>
      <c r="B33" s="392" t="s">
        <v>3061</v>
      </c>
      <c r="C33" s="393">
        <v>0</v>
      </c>
      <c r="D33" s="393">
        <v>0</v>
      </c>
      <c r="E33" s="393">
        <v>0</v>
      </c>
      <c r="F33" s="393">
        <v>0</v>
      </c>
      <c r="G33" s="562">
        <v>0</v>
      </c>
      <c r="H33" s="562">
        <v>0</v>
      </c>
      <c r="I33" s="561">
        <f>C33+E33+G33</f>
        <v>0</v>
      </c>
      <c r="J33" s="561">
        <f>D33+F33+H33</f>
        <v>0</v>
      </c>
      <c r="K33" s="561">
        <f>I33</f>
        <v>0</v>
      </c>
      <c r="L33" s="390">
        <f>J33</f>
        <v>0</v>
      </c>
    </row>
    <row r="34" spans="1:12" ht="15" thickBot="1">
      <c r="A34" s="1750" t="s">
        <v>3062</v>
      </c>
      <c r="B34" s="1751"/>
      <c r="C34" s="395">
        <f t="shared" ref="C34:L34" si="4">SUM(C32:C33)</f>
        <v>0</v>
      </c>
      <c r="D34" s="395">
        <f t="shared" si="4"/>
        <v>0</v>
      </c>
      <c r="E34" s="395">
        <f t="shared" si="4"/>
        <v>0</v>
      </c>
      <c r="F34" s="395">
        <f t="shared" si="4"/>
        <v>0</v>
      </c>
      <c r="G34" s="395">
        <f t="shared" si="4"/>
        <v>0</v>
      </c>
      <c r="H34" s="395">
        <f t="shared" si="4"/>
        <v>0</v>
      </c>
      <c r="I34" s="395">
        <f t="shared" si="4"/>
        <v>0</v>
      </c>
      <c r="J34" s="395">
        <f t="shared" si="4"/>
        <v>0</v>
      </c>
      <c r="K34" s="395">
        <f t="shared" si="4"/>
        <v>0</v>
      </c>
      <c r="L34" s="396">
        <f t="shared" si="4"/>
        <v>0</v>
      </c>
    </row>
    <row r="35" spans="1:12">
      <c r="A35" s="1741" t="s">
        <v>3544</v>
      </c>
      <c r="B35" s="1747" t="s">
        <v>3052</v>
      </c>
      <c r="C35" s="1743" t="s">
        <v>3063</v>
      </c>
      <c r="D35" s="1740"/>
      <c r="E35" s="1744" t="s">
        <v>3064</v>
      </c>
      <c r="F35" s="1745"/>
      <c r="G35" s="1739" t="s">
        <v>3065</v>
      </c>
      <c r="H35" s="1740"/>
      <c r="I35" s="1739" t="s">
        <v>3066</v>
      </c>
      <c r="J35" s="1740"/>
      <c r="K35" s="1739" t="s">
        <v>3057</v>
      </c>
      <c r="L35" s="1749"/>
    </row>
    <row r="36" spans="1:12" ht="24.75" thickBot="1">
      <c r="A36" s="1742"/>
      <c r="B36" s="1748"/>
      <c r="C36" s="383" t="s">
        <v>3058</v>
      </c>
      <c r="D36" s="384" t="s">
        <v>3059</v>
      </c>
      <c r="E36" s="383" t="s">
        <v>3058</v>
      </c>
      <c r="F36" s="384" t="s">
        <v>3059</v>
      </c>
      <c r="G36" s="383" t="s">
        <v>3058</v>
      </c>
      <c r="H36" s="384" t="s">
        <v>3059</v>
      </c>
      <c r="I36" s="383" t="s">
        <v>3058</v>
      </c>
      <c r="J36" s="384" t="s">
        <v>3059</v>
      </c>
      <c r="K36" s="383" t="s">
        <v>3058</v>
      </c>
      <c r="L36" s="385" t="s">
        <v>3059</v>
      </c>
    </row>
    <row r="37" spans="1:12">
      <c r="A37" s="386">
        <v>1</v>
      </c>
      <c r="B37" s="387" t="s">
        <v>3060</v>
      </c>
      <c r="C37" s="388">
        <v>1</v>
      </c>
      <c r="D37" s="388">
        <v>425</v>
      </c>
      <c r="E37" s="388">
        <v>0</v>
      </c>
      <c r="F37" s="388">
        <v>0</v>
      </c>
      <c r="G37" s="561">
        <v>0</v>
      </c>
      <c r="H37" s="561">
        <v>0</v>
      </c>
      <c r="I37" s="561">
        <f>C37+E37+G37</f>
        <v>1</v>
      </c>
      <c r="J37" s="561">
        <f>D37+F37+H37</f>
        <v>425</v>
      </c>
      <c r="K37" s="561">
        <f>K32+I37</f>
        <v>1</v>
      </c>
      <c r="L37" s="390">
        <f>L32+J37</f>
        <v>425</v>
      </c>
    </row>
    <row r="38" spans="1:12">
      <c r="A38" s="391">
        <v>2</v>
      </c>
      <c r="B38" s="392" t="s">
        <v>3061</v>
      </c>
      <c r="C38" s="393">
        <v>0</v>
      </c>
      <c r="D38" s="393">
        <v>0</v>
      </c>
      <c r="E38" s="393">
        <v>0</v>
      </c>
      <c r="F38" s="393">
        <v>0</v>
      </c>
      <c r="G38" s="562">
        <v>0</v>
      </c>
      <c r="H38" s="562">
        <v>0</v>
      </c>
      <c r="I38" s="561">
        <f>C38+E38+G38</f>
        <v>0</v>
      </c>
      <c r="J38" s="561">
        <f>D38+F38+H38</f>
        <v>0</v>
      </c>
      <c r="K38" s="562">
        <f>K33+I38</f>
        <v>0</v>
      </c>
      <c r="L38" s="563">
        <f>L33+J38</f>
        <v>0</v>
      </c>
    </row>
    <row r="39" spans="1:12" ht="15" thickBot="1">
      <c r="A39" s="1750" t="s">
        <v>3062</v>
      </c>
      <c r="B39" s="1751"/>
      <c r="C39" s="395">
        <f t="shared" ref="C39:L39" si="5">SUM(C37:C38)</f>
        <v>1</v>
      </c>
      <c r="D39" s="395">
        <f t="shared" si="5"/>
        <v>425</v>
      </c>
      <c r="E39" s="395">
        <f t="shared" si="5"/>
        <v>0</v>
      </c>
      <c r="F39" s="395">
        <f t="shared" si="5"/>
        <v>0</v>
      </c>
      <c r="G39" s="395">
        <f t="shared" si="5"/>
        <v>0</v>
      </c>
      <c r="H39" s="395">
        <f t="shared" si="5"/>
        <v>0</v>
      </c>
      <c r="I39" s="395">
        <f t="shared" si="5"/>
        <v>1</v>
      </c>
      <c r="J39" s="395">
        <f t="shared" si="5"/>
        <v>425</v>
      </c>
      <c r="K39" s="395">
        <f t="shared" si="5"/>
        <v>1</v>
      </c>
      <c r="L39" s="396">
        <f t="shared" si="5"/>
        <v>425</v>
      </c>
    </row>
    <row r="40" spans="1:12">
      <c r="A40" s="1741" t="s">
        <v>3544</v>
      </c>
      <c r="B40" s="1747" t="s">
        <v>3052</v>
      </c>
      <c r="C40" s="1743" t="s">
        <v>3067</v>
      </c>
      <c r="D40" s="1740"/>
      <c r="E40" s="1744" t="s">
        <v>3068</v>
      </c>
      <c r="F40" s="1745"/>
      <c r="G40" s="1739" t="s">
        <v>3069</v>
      </c>
      <c r="H40" s="1740"/>
      <c r="I40" s="1739" t="s">
        <v>3070</v>
      </c>
      <c r="J40" s="1740"/>
      <c r="K40" s="1739" t="s">
        <v>3057</v>
      </c>
      <c r="L40" s="1749"/>
    </row>
    <row r="41" spans="1:12" ht="24.75" thickBot="1">
      <c r="A41" s="1742"/>
      <c r="B41" s="1748"/>
      <c r="C41" s="383" t="s">
        <v>3058</v>
      </c>
      <c r="D41" s="384" t="s">
        <v>3059</v>
      </c>
      <c r="E41" s="383" t="s">
        <v>3058</v>
      </c>
      <c r="F41" s="384" t="s">
        <v>3059</v>
      </c>
      <c r="G41" s="383" t="s">
        <v>3058</v>
      </c>
      <c r="H41" s="384" t="s">
        <v>3059</v>
      </c>
      <c r="I41" s="383" t="s">
        <v>3058</v>
      </c>
      <c r="J41" s="384" t="s">
        <v>3059</v>
      </c>
      <c r="K41" s="383" t="s">
        <v>3058</v>
      </c>
      <c r="L41" s="385" t="s">
        <v>3059</v>
      </c>
    </row>
    <row r="42" spans="1:12">
      <c r="A42" s="386">
        <v>1</v>
      </c>
      <c r="B42" s="387" t="s">
        <v>3060</v>
      </c>
      <c r="C42" s="388">
        <v>0</v>
      </c>
      <c r="D42" s="388">
        <v>0</v>
      </c>
      <c r="E42" s="388">
        <v>0</v>
      </c>
      <c r="F42" s="388">
        <v>0</v>
      </c>
      <c r="G42" s="561">
        <v>0</v>
      </c>
      <c r="H42" s="561">
        <v>0</v>
      </c>
      <c r="I42" s="561">
        <f>C42+E42+G42</f>
        <v>0</v>
      </c>
      <c r="J42" s="561">
        <f>D42+F42+H42</f>
        <v>0</v>
      </c>
      <c r="K42" s="561">
        <f>K37+I42</f>
        <v>1</v>
      </c>
      <c r="L42" s="390">
        <f>L37+J42</f>
        <v>425</v>
      </c>
    </row>
    <row r="43" spans="1:12">
      <c r="A43" s="391">
        <v>2</v>
      </c>
      <c r="B43" s="392" t="s">
        <v>3061</v>
      </c>
      <c r="C43" s="393">
        <v>0</v>
      </c>
      <c r="D43" s="393">
        <v>0</v>
      </c>
      <c r="E43" s="393">
        <v>0</v>
      </c>
      <c r="F43" s="393">
        <v>0</v>
      </c>
      <c r="G43" s="562">
        <v>0</v>
      </c>
      <c r="H43" s="562">
        <v>0</v>
      </c>
      <c r="I43" s="561">
        <f>C43+E43+G43</f>
        <v>0</v>
      </c>
      <c r="J43" s="561">
        <f>D43+F43+H43</f>
        <v>0</v>
      </c>
      <c r="K43" s="562">
        <f>K38+I43</f>
        <v>0</v>
      </c>
      <c r="L43" s="563">
        <f>L38+J43</f>
        <v>0</v>
      </c>
    </row>
    <row r="44" spans="1:12" ht="15" thickBot="1">
      <c r="A44" s="1750" t="s">
        <v>3062</v>
      </c>
      <c r="B44" s="1751"/>
      <c r="C44" s="395">
        <f t="shared" ref="C44:L44" si="6">SUM(C42:C43)</f>
        <v>0</v>
      </c>
      <c r="D44" s="395">
        <f t="shared" si="6"/>
        <v>0</v>
      </c>
      <c r="E44" s="395">
        <f t="shared" si="6"/>
        <v>0</v>
      </c>
      <c r="F44" s="395">
        <f t="shared" si="6"/>
        <v>0</v>
      </c>
      <c r="G44" s="395">
        <f t="shared" si="6"/>
        <v>0</v>
      </c>
      <c r="H44" s="395">
        <f t="shared" si="6"/>
        <v>0</v>
      </c>
      <c r="I44" s="395">
        <f t="shared" si="6"/>
        <v>0</v>
      </c>
      <c r="J44" s="395">
        <f t="shared" si="6"/>
        <v>0</v>
      </c>
      <c r="K44" s="395">
        <f t="shared" si="6"/>
        <v>1</v>
      </c>
      <c r="L44" s="396">
        <f t="shared" si="6"/>
        <v>425</v>
      </c>
    </row>
    <row r="45" spans="1:12">
      <c r="A45" s="1741" t="s">
        <v>3544</v>
      </c>
      <c r="B45" s="1747" t="s">
        <v>3052</v>
      </c>
      <c r="C45" s="1743" t="s">
        <v>3071</v>
      </c>
      <c r="D45" s="1740"/>
      <c r="E45" s="1744" t="s">
        <v>3072</v>
      </c>
      <c r="F45" s="1745"/>
      <c r="G45" s="1739" t="s">
        <v>3073</v>
      </c>
      <c r="H45" s="1740"/>
      <c r="I45" s="1739" t="s">
        <v>3074</v>
      </c>
      <c r="J45" s="1740"/>
      <c r="K45" s="1739" t="s">
        <v>3057</v>
      </c>
      <c r="L45" s="1749"/>
    </row>
    <row r="46" spans="1:12" ht="24.75" thickBot="1">
      <c r="A46" s="1742"/>
      <c r="B46" s="1748"/>
      <c r="C46" s="383" t="s">
        <v>3058</v>
      </c>
      <c r="D46" s="384" t="s">
        <v>3059</v>
      </c>
      <c r="E46" s="383" t="s">
        <v>3058</v>
      </c>
      <c r="F46" s="384" t="s">
        <v>3059</v>
      </c>
      <c r="G46" s="383" t="s">
        <v>3058</v>
      </c>
      <c r="H46" s="384" t="s">
        <v>3059</v>
      </c>
      <c r="I46" s="383" t="s">
        <v>3058</v>
      </c>
      <c r="J46" s="384" t="s">
        <v>3059</v>
      </c>
      <c r="K46" s="383" t="s">
        <v>3058</v>
      </c>
      <c r="L46" s="385" t="s">
        <v>3059</v>
      </c>
    </row>
    <row r="47" spans="1:12">
      <c r="A47" s="386">
        <v>1</v>
      </c>
      <c r="B47" s="387" t="s">
        <v>3060</v>
      </c>
      <c r="C47" s="388">
        <v>0</v>
      </c>
      <c r="D47" s="388">
        <v>0</v>
      </c>
      <c r="E47" s="388">
        <v>0</v>
      </c>
      <c r="F47" s="388">
        <v>0</v>
      </c>
      <c r="G47" s="561">
        <v>0</v>
      </c>
      <c r="H47" s="561">
        <v>0</v>
      </c>
      <c r="I47" s="561">
        <f>C47+E47+G47</f>
        <v>0</v>
      </c>
      <c r="J47" s="561">
        <f>D47+F47+H47</f>
        <v>0</v>
      </c>
      <c r="K47" s="561">
        <f>K42+I47</f>
        <v>1</v>
      </c>
      <c r="L47" s="390">
        <f>L42+J47</f>
        <v>425</v>
      </c>
    </row>
    <row r="48" spans="1:12">
      <c r="A48" s="391">
        <v>2</v>
      </c>
      <c r="B48" s="392" t="s">
        <v>3061</v>
      </c>
      <c r="C48" s="393">
        <v>0</v>
      </c>
      <c r="D48" s="393">
        <v>0</v>
      </c>
      <c r="E48" s="393">
        <v>0</v>
      </c>
      <c r="F48" s="393">
        <v>0</v>
      </c>
      <c r="G48" s="562">
        <v>0</v>
      </c>
      <c r="H48" s="562">
        <v>0</v>
      </c>
      <c r="I48" s="561">
        <f>C48+E48+G48</f>
        <v>0</v>
      </c>
      <c r="J48" s="561">
        <f>D48+F48+H48</f>
        <v>0</v>
      </c>
      <c r="K48" s="562">
        <f>K43+I48</f>
        <v>0</v>
      </c>
      <c r="L48" s="563">
        <f>L43+J48</f>
        <v>0</v>
      </c>
    </row>
    <row r="49" spans="1:12" ht="15" thickBot="1">
      <c r="A49" s="1737" t="s">
        <v>3062</v>
      </c>
      <c r="B49" s="1738"/>
      <c r="C49" s="399">
        <f t="shared" ref="C49:L49" si="7">SUM(C47:C48)</f>
        <v>0</v>
      </c>
      <c r="D49" s="399">
        <f t="shared" si="7"/>
        <v>0</v>
      </c>
      <c r="E49" s="399">
        <f t="shared" si="7"/>
        <v>0</v>
      </c>
      <c r="F49" s="399">
        <f t="shared" si="7"/>
        <v>0</v>
      </c>
      <c r="G49" s="399">
        <f t="shared" si="7"/>
        <v>0</v>
      </c>
      <c r="H49" s="399">
        <f t="shared" si="7"/>
        <v>0</v>
      </c>
      <c r="I49" s="399">
        <f t="shared" si="7"/>
        <v>0</v>
      </c>
      <c r="J49" s="399">
        <f t="shared" si="7"/>
        <v>0</v>
      </c>
      <c r="K49" s="399">
        <f t="shared" si="7"/>
        <v>1</v>
      </c>
      <c r="L49" s="400">
        <f t="shared" si="7"/>
        <v>425</v>
      </c>
    </row>
    <row r="52" spans="1:12">
      <c r="A52" s="1651" t="s">
        <v>1422</v>
      </c>
      <c r="B52" s="1651"/>
      <c r="C52" s="1651"/>
      <c r="D52" s="1651"/>
      <c r="E52" s="1651"/>
      <c r="F52" s="1651"/>
      <c r="G52" s="1651"/>
      <c r="H52" s="1651"/>
      <c r="I52" s="1651"/>
      <c r="J52" s="1651"/>
      <c r="K52" s="1651"/>
      <c r="L52" s="1651"/>
    </row>
    <row r="53" spans="1:12" ht="15" thickBot="1">
      <c r="A53" s="382"/>
      <c r="B53" s="382"/>
      <c r="C53" s="382"/>
      <c r="D53" s="382"/>
      <c r="E53" s="382"/>
      <c r="F53" s="382"/>
      <c r="G53" s="382"/>
      <c r="H53" s="382"/>
      <c r="I53" s="382"/>
      <c r="J53" s="382"/>
      <c r="K53" s="382"/>
      <c r="L53" s="382"/>
    </row>
    <row r="54" spans="1:12">
      <c r="A54" s="1741" t="s">
        <v>3544</v>
      </c>
      <c r="B54" s="1747" t="s">
        <v>3052</v>
      </c>
      <c r="C54" s="1743" t="s">
        <v>3053</v>
      </c>
      <c r="D54" s="1740"/>
      <c r="E54" s="1744" t="s">
        <v>3054</v>
      </c>
      <c r="F54" s="1745"/>
      <c r="G54" s="1739" t="s">
        <v>3055</v>
      </c>
      <c r="H54" s="1740"/>
      <c r="I54" s="1739" t="s">
        <v>3056</v>
      </c>
      <c r="J54" s="1740"/>
      <c r="K54" s="1739" t="s">
        <v>3057</v>
      </c>
      <c r="L54" s="1749"/>
    </row>
    <row r="55" spans="1:12" ht="24.75" thickBot="1">
      <c r="A55" s="1742"/>
      <c r="B55" s="1748"/>
      <c r="C55" s="383" t="s">
        <v>3058</v>
      </c>
      <c r="D55" s="384" t="s">
        <v>3059</v>
      </c>
      <c r="E55" s="383" t="s">
        <v>3058</v>
      </c>
      <c r="F55" s="384" t="s">
        <v>3059</v>
      </c>
      <c r="G55" s="383" t="s">
        <v>3058</v>
      </c>
      <c r="H55" s="384" t="s">
        <v>3059</v>
      </c>
      <c r="I55" s="383" t="s">
        <v>3058</v>
      </c>
      <c r="J55" s="384" t="s">
        <v>3059</v>
      </c>
      <c r="K55" s="383" t="s">
        <v>3058</v>
      </c>
      <c r="L55" s="385" t="s">
        <v>3059</v>
      </c>
    </row>
    <row r="56" spans="1:12">
      <c r="A56" s="386">
        <v>1</v>
      </c>
      <c r="B56" s="387" t="s">
        <v>3060</v>
      </c>
      <c r="C56" s="388">
        <v>0</v>
      </c>
      <c r="D56" s="388">
        <v>0</v>
      </c>
      <c r="E56" s="388">
        <v>2</v>
      </c>
      <c r="F56" s="388">
        <v>1095</v>
      </c>
      <c r="G56" s="561">
        <v>1</v>
      </c>
      <c r="H56" s="561">
        <v>200</v>
      </c>
      <c r="I56" s="561">
        <f>C56+E56+G56</f>
        <v>3</v>
      </c>
      <c r="J56" s="561">
        <f>D56+F56+H56</f>
        <v>1295</v>
      </c>
      <c r="K56" s="561">
        <f>I56</f>
        <v>3</v>
      </c>
      <c r="L56" s="390">
        <f>J56</f>
        <v>1295</v>
      </c>
    </row>
    <row r="57" spans="1:12">
      <c r="A57" s="391">
        <v>2</v>
      </c>
      <c r="B57" s="392" t="s">
        <v>3061</v>
      </c>
      <c r="C57" s="393">
        <v>0</v>
      </c>
      <c r="D57" s="393">
        <v>0</v>
      </c>
      <c r="E57" s="393">
        <v>0</v>
      </c>
      <c r="F57" s="393">
        <v>0</v>
      </c>
      <c r="G57" s="562">
        <v>0</v>
      </c>
      <c r="H57" s="562">
        <v>0</v>
      </c>
      <c r="I57" s="561">
        <f>C57+E57+G57</f>
        <v>0</v>
      </c>
      <c r="J57" s="561">
        <f>D57+F57+H57</f>
        <v>0</v>
      </c>
      <c r="K57" s="561">
        <f>I57</f>
        <v>0</v>
      </c>
      <c r="L57" s="390">
        <f>J57</f>
        <v>0</v>
      </c>
    </row>
    <row r="58" spans="1:12" ht="15" thickBot="1">
      <c r="A58" s="1750" t="s">
        <v>3062</v>
      </c>
      <c r="B58" s="1751"/>
      <c r="C58" s="395">
        <f t="shared" ref="C58:L58" si="8">SUM(C56:C57)</f>
        <v>0</v>
      </c>
      <c r="D58" s="395">
        <f t="shared" si="8"/>
        <v>0</v>
      </c>
      <c r="E58" s="395">
        <f t="shared" si="8"/>
        <v>2</v>
      </c>
      <c r="F58" s="395">
        <f t="shared" si="8"/>
        <v>1095</v>
      </c>
      <c r="G58" s="395">
        <f t="shared" si="8"/>
        <v>1</v>
      </c>
      <c r="H58" s="395">
        <f t="shared" si="8"/>
        <v>200</v>
      </c>
      <c r="I58" s="395">
        <f t="shared" si="8"/>
        <v>3</v>
      </c>
      <c r="J58" s="395">
        <f t="shared" si="8"/>
        <v>1295</v>
      </c>
      <c r="K58" s="395">
        <f t="shared" si="8"/>
        <v>3</v>
      </c>
      <c r="L58" s="396">
        <f t="shared" si="8"/>
        <v>1295</v>
      </c>
    </row>
    <row r="59" spans="1:12">
      <c r="A59" s="1741" t="s">
        <v>3544</v>
      </c>
      <c r="B59" s="1747" t="s">
        <v>3052</v>
      </c>
      <c r="C59" s="1743" t="s">
        <v>3063</v>
      </c>
      <c r="D59" s="1740"/>
      <c r="E59" s="1744" t="s">
        <v>3064</v>
      </c>
      <c r="F59" s="1745"/>
      <c r="G59" s="1739" t="s">
        <v>3065</v>
      </c>
      <c r="H59" s="1740"/>
      <c r="I59" s="1739" t="s">
        <v>3066</v>
      </c>
      <c r="J59" s="1740"/>
      <c r="K59" s="1739" t="s">
        <v>3057</v>
      </c>
      <c r="L59" s="1749"/>
    </row>
    <row r="60" spans="1:12" ht="24.75" thickBot="1">
      <c r="A60" s="1742"/>
      <c r="B60" s="1748"/>
      <c r="C60" s="383" t="s">
        <v>3058</v>
      </c>
      <c r="D60" s="384" t="s">
        <v>3059</v>
      </c>
      <c r="E60" s="383" t="s">
        <v>3058</v>
      </c>
      <c r="F60" s="384" t="s">
        <v>3059</v>
      </c>
      <c r="G60" s="383" t="s">
        <v>3058</v>
      </c>
      <c r="H60" s="384" t="s">
        <v>3059</v>
      </c>
      <c r="I60" s="383" t="s">
        <v>3058</v>
      </c>
      <c r="J60" s="384" t="s">
        <v>3059</v>
      </c>
      <c r="K60" s="383" t="s">
        <v>3058</v>
      </c>
      <c r="L60" s="385" t="s">
        <v>3059</v>
      </c>
    </row>
    <row r="61" spans="1:12">
      <c r="A61" s="386">
        <v>1</v>
      </c>
      <c r="B61" s="387" t="s">
        <v>3060</v>
      </c>
      <c r="C61" s="388">
        <v>0</v>
      </c>
      <c r="D61" s="388">
        <v>0</v>
      </c>
      <c r="E61" s="388">
        <v>0</v>
      </c>
      <c r="F61" s="388">
        <v>0</v>
      </c>
      <c r="G61" s="561">
        <v>0</v>
      </c>
      <c r="H61" s="561">
        <v>0</v>
      </c>
      <c r="I61" s="561">
        <f>C61+E61+G61</f>
        <v>0</v>
      </c>
      <c r="J61" s="561">
        <f>D61+F61+H61</f>
        <v>0</v>
      </c>
      <c r="K61" s="561">
        <f>K56+I61</f>
        <v>3</v>
      </c>
      <c r="L61" s="390">
        <f>L56+J61</f>
        <v>1295</v>
      </c>
    </row>
    <row r="62" spans="1:12">
      <c r="A62" s="391">
        <v>2</v>
      </c>
      <c r="B62" s="392" t="s">
        <v>3061</v>
      </c>
      <c r="C62" s="393">
        <v>0</v>
      </c>
      <c r="D62" s="393">
        <v>0</v>
      </c>
      <c r="E62" s="393">
        <v>0</v>
      </c>
      <c r="F62" s="393">
        <v>0</v>
      </c>
      <c r="G62" s="562">
        <v>0</v>
      </c>
      <c r="H62" s="562">
        <v>0</v>
      </c>
      <c r="I62" s="561">
        <f>C62+E62+G62</f>
        <v>0</v>
      </c>
      <c r="J62" s="561">
        <f>D62+F62+H62</f>
        <v>0</v>
      </c>
      <c r="K62" s="562">
        <f>K57+I62</f>
        <v>0</v>
      </c>
      <c r="L62" s="563">
        <f>L57+J62</f>
        <v>0</v>
      </c>
    </row>
    <row r="63" spans="1:12" ht="15" thickBot="1">
      <c r="A63" s="1750" t="s">
        <v>3062</v>
      </c>
      <c r="B63" s="1751"/>
      <c r="C63" s="395">
        <f t="shared" ref="C63:L63" si="9">SUM(C61:C62)</f>
        <v>0</v>
      </c>
      <c r="D63" s="395">
        <f t="shared" si="9"/>
        <v>0</v>
      </c>
      <c r="E63" s="395">
        <f t="shared" si="9"/>
        <v>0</v>
      </c>
      <c r="F63" s="395">
        <f t="shared" si="9"/>
        <v>0</v>
      </c>
      <c r="G63" s="395">
        <f t="shared" si="9"/>
        <v>0</v>
      </c>
      <c r="H63" s="395">
        <f t="shared" si="9"/>
        <v>0</v>
      </c>
      <c r="I63" s="395">
        <f t="shared" si="9"/>
        <v>0</v>
      </c>
      <c r="J63" s="395">
        <f t="shared" si="9"/>
        <v>0</v>
      </c>
      <c r="K63" s="395">
        <f t="shared" si="9"/>
        <v>3</v>
      </c>
      <c r="L63" s="396">
        <f t="shared" si="9"/>
        <v>1295</v>
      </c>
    </row>
    <row r="64" spans="1:12">
      <c r="A64" s="1741" t="s">
        <v>3544</v>
      </c>
      <c r="B64" s="1747" t="s">
        <v>3052</v>
      </c>
      <c r="C64" s="1743" t="s">
        <v>3067</v>
      </c>
      <c r="D64" s="1740"/>
      <c r="E64" s="1744" t="s">
        <v>3068</v>
      </c>
      <c r="F64" s="1745"/>
      <c r="G64" s="1739" t="s">
        <v>3069</v>
      </c>
      <c r="H64" s="1740"/>
      <c r="I64" s="1739" t="s">
        <v>3070</v>
      </c>
      <c r="J64" s="1740"/>
      <c r="K64" s="1739" t="s">
        <v>3057</v>
      </c>
      <c r="L64" s="1749"/>
    </row>
    <row r="65" spans="1:12" ht="24.75" thickBot="1">
      <c r="A65" s="1742"/>
      <c r="B65" s="1748"/>
      <c r="C65" s="383" t="s">
        <v>3058</v>
      </c>
      <c r="D65" s="384" t="s">
        <v>3059</v>
      </c>
      <c r="E65" s="383" t="s">
        <v>3058</v>
      </c>
      <c r="F65" s="384" t="s">
        <v>3059</v>
      </c>
      <c r="G65" s="383" t="s">
        <v>3058</v>
      </c>
      <c r="H65" s="384" t="s">
        <v>3059</v>
      </c>
      <c r="I65" s="383" t="s">
        <v>3058</v>
      </c>
      <c r="J65" s="384" t="s">
        <v>3059</v>
      </c>
      <c r="K65" s="383" t="s">
        <v>3058</v>
      </c>
      <c r="L65" s="385" t="s">
        <v>3059</v>
      </c>
    </row>
    <row r="66" spans="1:12">
      <c r="A66" s="386">
        <v>1</v>
      </c>
      <c r="B66" s="387" t="s">
        <v>3060</v>
      </c>
      <c r="C66" s="388">
        <v>0</v>
      </c>
      <c r="D66" s="388">
        <v>0</v>
      </c>
      <c r="E66" s="388">
        <v>1</v>
      </c>
      <c r="F66" s="388">
        <v>493.66</v>
      </c>
      <c r="G66" s="561">
        <v>2</v>
      </c>
      <c r="H66" s="561">
        <v>150</v>
      </c>
      <c r="I66" s="561">
        <f>C66+E66+G66</f>
        <v>3</v>
      </c>
      <c r="J66" s="561">
        <f>D66+F66+H66</f>
        <v>643.66000000000008</v>
      </c>
      <c r="K66" s="561">
        <f>K61+I66</f>
        <v>6</v>
      </c>
      <c r="L66" s="390">
        <f>L61+J66</f>
        <v>1938.66</v>
      </c>
    </row>
    <row r="67" spans="1:12">
      <c r="A67" s="391">
        <v>2</v>
      </c>
      <c r="B67" s="392" t="s">
        <v>3061</v>
      </c>
      <c r="C67" s="393">
        <v>0</v>
      </c>
      <c r="D67" s="393">
        <v>0</v>
      </c>
      <c r="E67" s="393">
        <v>0</v>
      </c>
      <c r="F67" s="393">
        <v>0</v>
      </c>
      <c r="G67" s="562">
        <v>0</v>
      </c>
      <c r="H67" s="562">
        <v>0</v>
      </c>
      <c r="I67" s="561">
        <f>C67+E67+G67</f>
        <v>0</v>
      </c>
      <c r="J67" s="561">
        <f>D67+F67+H67</f>
        <v>0</v>
      </c>
      <c r="K67" s="562">
        <f>K62+I67</f>
        <v>0</v>
      </c>
      <c r="L67" s="563">
        <f>L62+J67</f>
        <v>0</v>
      </c>
    </row>
    <row r="68" spans="1:12" ht="15" thickBot="1">
      <c r="A68" s="1750" t="s">
        <v>3062</v>
      </c>
      <c r="B68" s="1751"/>
      <c r="C68" s="395">
        <f t="shared" ref="C68:L68" si="10">SUM(C66:C67)</f>
        <v>0</v>
      </c>
      <c r="D68" s="395">
        <f t="shared" si="10"/>
        <v>0</v>
      </c>
      <c r="E68" s="395">
        <f t="shared" si="10"/>
        <v>1</v>
      </c>
      <c r="F68" s="395">
        <f t="shared" si="10"/>
        <v>493.66</v>
      </c>
      <c r="G68" s="395">
        <f t="shared" si="10"/>
        <v>2</v>
      </c>
      <c r="H68" s="395">
        <f t="shared" si="10"/>
        <v>150</v>
      </c>
      <c r="I68" s="395">
        <f t="shared" si="10"/>
        <v>3</v>
      </c>
      <c r="J68" s="395">
        <f t="shared" si="10"/>
        <v>643.66000000000008</v>
      </c>
      <c r="K68" s="395">
        <f t="shared" si="10"/>
        <v>6</v>
      </c>
      <c r="L68" s="396">
        <f t="shared" si="10"/>
        <v>1938.66</v>
      </c>
    </row>
    <row r="69" spans="1:12">
      <c r="A69" s="1741" t="s">
        <v>3544</v>
      </c>
      <c r="B69" s="1747" t="s">
        <v>3052</v>
      </c>
      <c r="C69" s="1743" t="s">
        <v>3071</v>
      </c>
      <c r="D69" s="1740"/>
      <c r="E69" s="1744" t="s">
        <v>3072</v>
      </c>
      <c r="F69" s="1745"/>
      <c r="G69" s="1739" t="s">
        <v>3073</v>
      </c>
      <c r="H69" s="1740"/>
      <c r="I69" s="1739" t="s">
        <v>3074</v>
      </c>
      <c r="J69" s="1740"/>
      <c r="K69" s="1739" t="s">
        <v>3057</v>
      </c>
      <c r="L69" s="1749"/>
    </row>
    <row r="70" spans="1:12" ht="24.75" thickBot="1">
      <c r="A70" s="1742"/>
      <c r="B70" s="1748"/>
      <c r="C70" s="383" t="s">
        <v>3058</v>
      </c>
      <c r="D70" s="384" t="s">
        <v>3059</v>
      </c>
      <c r="E70" s="383" t="s">
        <v>3058</v>
      </c>
      <c r="F70" s="384" t="s">
        <v>3059</v>
      </c>
      <c r="G70" s="383" t="s">
        <v>3058</v>
      </c>
      <c r="H70" s="384" t="s">
        <v>3059</v>
      </c>
      <c r="I70" s="383" t="s">
        <v>3058</v>
      </c>
      <c r="J70" s="384" t="s">
        <v>3059</v>
      </c>
      <c r="K70" s="383" t="s">
        <v>3058</v>
      </c>
      <c r="L70" s="385" t="s">
        <v>3059</v>
      </c>
    </row>
    <row r="71" spans="1:12">
      <c r="A71" s="386">
        <v>1</v>
      </c>
      <c r="B71" s="387" t="s">
        <v>3060</v>
      </c>
      <c r="C71" s="388">
        <v>1</v>
      </c>
      <c r="D71" s="388">
        <v>200</v>
      </c>
      <c r="E71" s="388">
        <v>1</v>
      </c>
      <c r="F71" s="388">
        <v>194</v>
      </c>
      <c r="G71" s="561">
        <v>1</v>
      </c>
      <c r="H71" s="561">
        <v>1644</v>
      </c>
      <c r="I71" s="561">
        <f>C71+E71+G71</f>
        <v>3</v>
      </c>
      <c r="J71" s="561">
        <f>D71+F71+H71</f>
        <v>2038</v>
      </c>
      <c r="K71" s="561">
        <f>K66+I71</f>
        <v>9</v>
      </c>
      <c r="L71" s="390">
        <f>L66+J71</f>
        <v>3976.66</v>
      </c>
    </row>
    <row r="72" spans="1:12">
      <c r="A72" s="391">
        <v>2</v>
      </c>
      <c r="B72" s="392" t="s">
        <v>3061</v>
      </c>
      <c r="C72" s="393">
        <v>0</v>
      </c>
      <c r="D72" s="393">
        <v>0</v>
      </c>
      <c r="E72" s="393">
        <v>0</v>
      </c>
      <c r="F72" s="393">
        <v>0</v>
      </c>
      <c r="G72" s="562">
        <v>0</v>
      </c>
      <c r="H72" s="562">
        <v>0</v>
      </c>
      <c r="I72" s="561">
        <f>C72+E72+G72</f>
        <v>0</v>
      </c>
      <c r="J72" s="561">
        <f>D72+F72+H72</f>
        <v>0</v>
      </c>
      <c r="K72" s="562">
        <f>K67+I72</f>
        <v>0</v>
      </c>
      <c r="L72" s="563">
        <f>L67+J72</f>
        <v>0</v>
      </c>
    </row>
    <row r="73" spans="1:12" ht="15" thickBot="1">
      <c r="A73" s="1737" t="s">
        <v>3062</v>
      </c>
      <c r="B73" s="1738"/>
      <c r="C73" s="399">
        <f t="shared" ref="C73:L73" si="11">SUM(C71:C72)</f>
        <v>1</v>
      </c>
      <c r="D73" s="399">
        <f t="shared" si="11"/>
        <v>200</v>
      </c>
      <c r="E73" s="399">
        <f t="shared" si="11"/>
        <v>1</v>
      </c>
      <c r="F73" s="399">
        <f t="shared" si="11"/>
        <v>194</v>
      </c>
      <c r="G73" s="399">
        <f t="shared" si="11"/>
        <v>1</v>
      </c>
      <c r="H73" s="399">
        <f t="shared" si="11"/>
        <v>1644</v>
      </c>
      <c r="I73" s="399">
        <f t="shared" si="11"/>
        <v>3</v>
      </c>
      <c r="J73" s="399">
        <f t="shared" si="11"/>
        <v>2038</v>
      </c>
      <c r="K73" s="399">
        <f t="shared" si="11"/>
        <v>9</v>
      </c>
      <c r="L73" s="400">
        <f t="shared" si="11"/>
        <v>3976.66</v>
      </c>
    </row>
    <row r="76" spans="1:12">
      <c r="A76" s="1651" t="s">
        <v>1423</v>
      </c>
      <c r="B76" s="1651"/>
      <c r="C76" s="1651"/>
      <c r="D76" s="1651"/>
      <c r="E76" s="1651"/>
      <c r="F76" s="1651"/>
      <c r="G76" s="1651"/>
      <c r="H76" s="1651"/>
      <c r="I76" s="1651"/>
      <c r="J76" s="1651"/>
      <c r="K76" s="1651"/>
      <c r="L76" s="1651"/>
    </row>
    <row r="77" spans="1:12" ht="15" thickBot="1"/>
    <row r="78" spans="1:12">
      <c r="A78" s="1741" t="s">
        <v>3544</v>
      </c>
      <c r="B78" s="1747" t="s">
        <v>3052</v>
      </c>
      <c r="C78" s="1743" t="s">
        <v>3053</v>
      </c>
      <c r="D78" s="1740"/>
      <c r="E78" s="1744" t="s">
        <v>3054</v>
      </c>
      <c r="F78" s="1745"/>
      <c r="G78" s="1739" t="s">
        <v>3055</v>
      </c>
      <c r="H78" s="1740"/>
      <c r="I78" s="1739" t="s">
        <v>3056</v>
      </c>
      <c r="J78" s="1740"/>
      <c r="K78" s="1739" t="s">
        <v>3057</v>
      </c>
      <c r="L78" s="1749"/>
    </row>
    <row r="79" spans="1:12" ht="24.75" thickBot="1">
      <c r="A79" s="1742"/>
      <c r="B79" s="1748"/>
      <c r="C79" s="383" t="s">
        <v>3058</v>
      </c>
      <c r="D79" s="384" t="s">
        <v>3059</v>
      </c>
      <c r="E79" s="383" t="s">
        <v>3058</v>
      </c>
      <c r="F79" s="384" t="s">
        <v>3059</v>
      </c>
      <c r="G79" s="383" t="s">
        <v>3058</v>
      </c>
      <c r="H79" s="384" t="s">
        <v>3059</v>
      </c>
      <c r="I79" s="383" t="s">
        <v>3058</v>
      </c>
      <c r="J79" s="384" t="s">
        <v>3059</v>
      </c>
      <c r="K79" s="383" t="s">
        <v>3058</v>
      </c>
      <c r="L79" s="385" t="s">
        <v>3059</v>
      </c>
    </row>
    <row r="80" spans="1:12">
      <c r="A80" s="386">
        <v>1</v>
      </c>
      <c r="B80" s="387" t="s">
        <v>3060</v>
      </c>
      <c r="C80" s="388">
        <v>1</v>
      </c>
      <c r="D80" s="388">
        <v>4900</v>
      </c>
      <c r="E80" s="388">
        <v>0</v>
      </c>
      <c r="F80" s="388">
        <v>0</v>
      </c>
      <c r="G80" s="561">
        <v>1</v>
      </c>
      <c r="H80" s="561">
        <v>30</v>
      </c>
      <c r="I80" s="561">
        <f>C80+E80+G80</f>
        <v>2</v>
      </c>
      <c r="J80" s="561">
        <f>D80+F80+H80</f>
        <v>4930</v>
      </c>
      <c r="K80" s="561">
        <f>I80</f>
        <v>2</v>
      </c>
      <c r="L80" s="390">
        <f>J80</f>
        <v>4930</v>
      </c>
    </row>
    <row r="81" spans="1:12">
      <c r="A81" s="391">
        <v>2</v>
      </c>
      <c r="B81" s="392" t="s">
        <v>3061</v>
      </c>
      <c r="C81" s="393">
        <v>0</v>
      </c>
      <c r="D81" s="393">
        <v>0</v>
      </c>
      <c r="E81" s="393">
        <v>0</v>
      </c>
      <c r="F81" s="393">
        <v>0</v>
      </c>
      <c r="G81" s="562">
        <v>0</v>
      </c>
      <c r="H81" s="562">
        <v>0</v>
      </c>
      <c r="I81" s="561">
        <f>C81+E81+G81</f>
        <v>0</v>
      </c>
      <c r="J81" s="561">
        <f>D81+F81+H81</f>
        <v>0</v>
      </c>
      <c r="K81" s="561">
        <f>I81</f>
        <v>0</v>
      </c>
      <c r="L81" s="390">
        <f>J81</f>
        <v>0</v>
      </c>
    </row>
    <row r="82" spans="1:12" ht="15" thickBot="1">
      <c r="A82" s="1750" t="s">
        <v>3062</v>
      </c>
      <c r="B82" s="1751"/>
      <c r="C82" s="395">
        <f t="shared" ref="C82:L82" si="12">SUM(C80:C81)</f>
        <v>1</v>
      </c>
      <c r="D82" s="395">
        <f t="shared" si="12"/>
        <v>4900</v>
      </c>
      <c r="E82" s="395">
        <f t="shared" si="12"/>
        <v>0</v>
      </c>
      <c r="F82" s="395">
        <f t="shared" si="12"/>
        <v>0</v>
      </c>
      <c r="G82" s="395">
        <f t="shared" si="12"/>
        <v>1</v>
      </c>
      <c r="H82" s="395">
        <f t="shared" si="12"/>
        <v>30</v>
      </c>
      <c r="I82" s="395">
        <f t="shared" si="12"/>
        <v>2</v>
      </c>
      <c r="J82" s="395">
        <f t="shared" si="12"/>
        <v>4930</v>
      </c>
      <c r="K82" s="395">
        <f t="shared" si="12"/>
        <v>2</v>
      </c>
      <c r="L82" s="396">
        <f t="shared" si="12"/>
        <v>4930</v>
      </c>
    </row>
    <row r="83" spans="1:12">
      <c r="A83" s="1741" t="s">
        <v>3544</v>
      </c>
      <c r="B83" s="1747" t="s">
        <v>3052</v>
      </c>
      <c r="C83" s="1743" t="s">
        <v>3063</v>
      </c>
      <c r="D83" s="1740"/>
      <c r="E83" s="1744" t="s">
        <v>3064</v>
      </c>
      <c r="F83" s="1745"/>
      <c r="G83" s="1739" t="s">
        <v>3065</v>
      </c>
      <c r="H83" s="1740"/>
      <c r="I83" s="1739" t="s">
        <v>3066</v>
      </c>
      <c r="J83" s="1740"/>
      <c r="K83" s="1739" t="s">
        <v>3057</v>
      </c>
      <c r="L83" s="1749"/>
    </row>
    <row r="84" spans="1:12" ht="24.75" thickBot="1">
      <c r="A84" s="1742"/>
      <c r="B84" s="1748"/>
      <c r="C84" s="383" t="s">
        <v>3058</v>
      </c>
      <c r="D84" s="384" t="s">
        <v>3059</v>
      </c>
      <c r="E84" s="383" t="s">
        <v>3058</v>
      </c>
      <c r="F84" s="384" t="s">
        <v>3059</v>
      </c>
      <c r="G84" s="383" t="s">
        <v>3058</v>
      </c>
      <c r="H84" s="384" t="s">
        <v>3059</v>
      </c>
      <c r="I84" s="383" t="s">
        <v>3058</v>
      </c>
      <c r="J84" s="384" t="s">
        <v>3059</v>
      </c>
      <c r="K84" s="383" t="s">
        <v>3058</v>
      </c>
      <c r="L84" s="385" t="s">
        <v>3059</v>
      </c>
    </row>
    <row r="85" spans="1:12">
      <c r="A85" s="386">
        <v>1</v>
      </c>
      <c r="B85" s="387" t="s">
        <v>3060</v>
      </c>
      <c r="C85" s="388">
        <v>1</v>
      </c>
      <c r="D85" s="388">
        <v>595</v>
      </c>
      <c r="E85" s="388">
        <v>0</v>
      </c>
      <c r="F85" s="388">
        <v>0</v>
      </c>
      <c r="G85" s="561">
        <v>0</v>
      </c>
      <c r="H85" s="561">
        <v>0</v>
      </c>
      <c r="I85" s="561">
        <f>C85+E85+G85</f>
        <v>1</v>
      </c>
      <c r="J85" s="561">
        <f>D85+F85+H85</f>
        <v>595</v>
      </c>
      <c r="K85" s="561">
        <f>K80+I85</f>
        <v>3</v>
      </c>
      <c r="L85" s="390">
        <f>L80+J85</f>
        <v>5525</v>
      </c>
    </row>
    <row r="86" spans="1:12">
      <c r="A86" s="391">
        <v>2</v>
      </c>
      <c r="B86" s="392" t="s">
        <v>3061</v>
      </c>
      <c r="C86" s="393">
        <v>0</v>
      </c>
      <c r="D86" s="393">
        <v>0</v>
      </c>
      <c r="E86" s="393">
        <v>0</v>
      </c>
      <c r="F86" s="393">
        <v>0</v>
      </c>
      <c r="G86" s="562">
        <v>0</v>
      </c>
      <c r="H86" s="562">
        <v>0</v>
      </c>
      <c r="I86" s="561">
        <f>C86+E86+G86</f>
        <v>0</v>
      </c>
      <c r="J86" s="561">
        <f>D86+F86+H86</f>
        <v>0</v>
      </c>
      <c r="K86" s="562">
        <f>K81+I86</f>
        <v>0</v>
      </c>
      <c r="L86" s="563">
        <f>L81+J86</f>
        <v>0</v>
      </c>
    </row>
    <row r="87" spans="1:12" ht="15" thickBot="1">
      <c r="A87" s="1750" t="s">
        <v>3062</v>
      </c>
      <c r="B87" s="1751"/>
      <c r="C87" s="395">
        <f t="shared" ref="C87:L87" si="13">SUM(C85:C86)</f>
        <v>1</v>
      </c>
      <c r="D87" s="395">
        <f t="shared" si="13"/>
        <v>595</v>
      </c>
      <c r="E87" s="395">
        <f t="shared" si="13"/>
        <v>0</v>
      </c>
      <c r="F87" s="395">
        <f t="shared" si="13"/>
        <v>0</v>
      </c>
      <c r="G87" s="395">
        <f t="shared" si="13"/>
        <v>0</v>
      </c>
      <c r="H87" s="395">
        <f t="shared" si="13"/>
        <v>0</v>
      </c>
      <c r="I87" s="395">
        <f t="shared" si="13"/>
        <v>1</v>
      </c>
      <c r="J87" s="395">
        <f t="shared" si="13"/>
        <v>595</v>
      </c>
      <c r="K87" s="395">
        <f t="shared" si="13"/>
        <v>3</v>
      </c>
      <c r="L87" s="396">
        <f t="shared" si="13"/>
        <v>5525</v>
      </c>
    </row>
    <row r="88" spans="1:12">
      <c r="A88" s="1741" t="s">
        <v>3544</v>
      </c>
      <c r="B88" s="1747" t="s">
        <v>3052</v>
      </c>
      <c r="C88" s="1743" t="s">
        <v>3067</v>
      </c>
      <c r="D88" s="1740"/>
      <c r="E88" s="1744" t="s">
        <v>3068</v>
      </c>
      <c r="F88" s="1745"/>
      <c r="G88" s="1739" t="s">
        <v>3069</v>
      </c>
      <c r="H88" s="1740"/>
      <c r="I88" s="1739" t="s">
        <v>3070</v>
      </c>
      <c r="J88" s="1740"/>
      <c r="K88" s="1739" t="s">
        <v>3057</v>
      </c>
      <c r="L88" s="1749"/>
    </row>
    <row r="89" spans="1:12" ht="24.75" thickBot="1">
      <c r="A89" s="1742"/>
      <c r="B89" s="1748"/>
      <c r="C89" s="383" t="s">
        <v>3058</v>
      </c>
      <c r="D89" s="384" t="s">
        <v>3059</v>
      </c>
      <c r="E89" s="383" t="s">
        <v>3058</v>
      </c>
      <c r="F89" s="384" t="s">
        <v>3059</v>
      </c>
      <c r="G89" s="383" t="s">
        <v>3058</v>
      </c>
      <c r="H89" s="384" t="s">
        <v>3059</v>
      </c>
      <c r="I89" s="383" t="s">
        <v>3058</v>
      </c>
      <c r="J89" s="384" t="s">
        <v>3059</v>
      </c>
      <c r="K89" s="383" t="s">
        <v>3058</v>
      </c>
      <c r="L89" s="385" t="s">
        <v>3059</v>
      </c>
    </row>
    <row r="90" spans="1:12">
      <c r="A90" s="386">
        <v>1</v>
      </c>
      <c r="B90" s="387" t="s">
        <v>3060</v>
      </c>
      <c r="C90" s="388">
        <v>0</v>
      </c>
      <c r="D90" s="388">
        <v>0</v>
      </c>
      <c r="E90" s="388">
        <v>0</v>
      </c>
      <c r="F90" s="388">
        <v>0</v>
      </c>
      <c r="G90" s="561">
        <v>0</v>
      </c>
      <c r="H90" s="561">
        <v>0</v>
      </c>
      <c r="I90" s="561">
        <f>C90+E90+G90</f>
        <v>0</v>
      </c>
      <c r="J90" s="561">
        <f>D90+F90+H90</f>
        <v>0</v>
      </c>
      <c r="K90" s="561">
        <f>K85+I90</f>
        <v>3</v>
      </c>
      <c r="L90" s="390">
        <f>L85+J90</f>
        <v>5525</v>
      </c>
    </row>
    <row r="91" spans="1:12">
      <c r="A91" s="391">
        <v>2</v>
      </c>
      <c r="B91" s="392" t="s">
        <v>3061</v>
      </c>
      <c r="C91" s="393">
        <v>0</v>
      </c>
      <c r="D91" s="393">
        <v>0</v>
      </c>
      <c r="E91" s="393">
        <v>0</v>
      </c>
      <c r="F91" s="393">
        <v>0</v>
      </c>
      <c r="G91" s="562">
        <v>0</v>
      </c>
      <c r="H91" s="562">
        <v>0</v>
      </c>
      <c r="I91" s="561">
        <f>C91+E91+G91</f>
        <v>0</v>
      </c>
      <c r="J91" s="561">
        <f>D91+F91+H91</f>
        <v>0</v>
      </c>
      <c r="K91" s="562">
        <f>K86+I91</f>
        <v>0</v>
      </c>
      <c r="L91" s="563">
        <f>L86+J91</f>
        <v>0</v>
      </c>
    </row>
    <row r="92" spans="1:12" ht="15" thickBot="1">
      <c r="A92" s="1750" t="s">
        <v>3062</v>
      </c>
      <c r="B92" s="1751"/>
      <c r="C92" s="395">
        <f t="shared" ref="C92:L92" si="14">SUM(C90:C91)</f>
        <v>0</v>
      </c>
      <c r="D92" s="395">
        <f t="shared" si="14"/>
        <v>0</v>
      </c>
      <c r="E92" s="395">
        <f t="shared" si="14"/>
        <v>0</v>
      </c>
      <c r="F92" s="395">
        <f t="shared" si="14"/>
        <v>0</v>
      </c>
      <c r="G92" s="395">
        <f t="shared" si="14"/>
        <v>0</v>
      </c>
      <c r="H92" s="395">
        <f t="shared" si="14"/>
        <v>0</v>
      </c>
      <c r="I92" s="395">
        <f t="shared" si="14"/>
        <v>0</v>
      </c>
      <c r="J92" s="395">
        <f t="shared" si="14"/>
        <v>0</v>
      </c>
      <c r="K92" s="395">
        <f t="shared" si="14"/>
        <v>3</v>
      </c>
      <c r="L92" s="396">
        <f t="shared" si="14"/>
        <v>5525</v>
      </c>
    </row>
    <row r="93" spans="1:12">
      <c r="A93" s="1741" t="s">
        <v>3544</v>
      </c>
      <c r="B93" s="1747" t="s">
        <v>3052</v>
      </c>
      <c r="C93" s="1743" t="s">
        <v>3071</v>
      </c>
      <c r="D93" s="1740"/>
      <c r="E93" s="1744" t="s">
        <v>3072</v>
      </c>
      <c r="F93" s="1745"/>
      <c r="G93" s="1739" t="s">
        <v>3073</v>
      </c>
      <c r="H93" s="1740"/>
      <c r="I93" s="1739" t="s">
        <v>3074</v>
      </c>
      <c r="J93" s="1740"/>
      <c r="K93" s="1739" t="s">
        <v>3057</v>
      </c>
      <c r="L93" s="1749"/>
    </row>
    <row r="94" spans="1:12" ht="24.75" thickBot="1">
      <c r="A94" s="1742"/>
      <c r="B94" s="1748"/>
      <c r="C94" s="383" t="s">
        <v>3058</v>
      </c>
      <c r="D94" s="384" t="s">
        <v>3059</v>
      </c>
      <c r="E94" s="383" t="s">
        <v>3058</v>
      </c>
      <c r="F94" s="384" t="s">
        <v>3059</v>
      </c>
      <c r="G94" s="383" t="s">
        <v>3058</v>
      </c>
      <c r="H94" s="384" t="s">
        <v>3059</v>
      </c>
      <c r="I94" s="383" t="s">
        <v>3058</v>
      </c>
      <c r="J94" s="384" t="s">
        <v>3059</v>
      </c>
      <c r="K94" s="383" t="s">
        <v>3058</v>
      </c>
      <c r="L94" s="385" t="s">
        <v>3059</v>
      </c>
    </row>
    <row r="95" spans="1:12">
      <c r="A95" s="386">
        <v>1</v>
      </c>
      <c r="B95" s="387" t="s">
        <v>3060</v>
      </c>
      <c r="C95" s="388">
        <v>1</v>
      </c>
      <c r="D95" s="388">
        <v>60</v>
      </c>
      <c r="E95" s="388">
        <v>0</v>
      </c>
      <c r="F95" s="388">
        <v>0</v>
      </c>
      <c r="G95" s="561">
        <v>0</v>
      </c>
      <c r="H95" s="561">
        <v>0</v>
      </c>
      <c r="I95" s="561">
        <f>C95+E95+G95</f>
        <v>1</v>
      </c>
      <c r="J95" s="561">
        <f>D95+F95+H95</f>
        <v>60</v>
      </c>
      <c r="K95" s="561">
        <f>K90+I95</f>
        <v>4</v>
      </c>
      <c r="L95" s="390">
        <f>L90+J95</f>
        <v>5585</v>
      </c>
    </row>
    <row r="96" spans="1:12">
      <c r="A96" s="391">
        <v>2</v>
      </c>
      <c r="B96" s="392" t="s">
        <v>3061</v>
      </c>
      <c r="C96" s="393">
        <v>1</v>
      </c>
      <c r="D96" s="393">
        <v>103.65</v>
      </c>
      <c r="E96" s="393">
        <v>0</v>
      </c>
      <c r="F96" s="393">
        <v>0</v>
      </c>
      <c r="G96" s="562">
        <v>0</v>
      </c>
      <c r="H96" s="562">
        <v>0</v>
      </c>
      <c r="I96" s="561">
        <f>C96+E96+G96</f>
        <v>1</v>
      </c>
      <c r="J96" s="561">
        <f>D96+F96+H96</f>
        <v>103.65</v>
      </c>
      <c r="K96" s="562">
        <f>K91+I96</f>
        <v>1</v>
      </c>
      <c r="L96" s="563">
        <f>L91+J96</f>
        <v>103.65</v>
      </c>
    </row>
    <row r="97" spans="1:12" ht="15" thickBot="1">
      <c r="A97" s="1737" t="s">
        <v>3062</v>
      </c>
      <c r="B97" s="1738"/>
      <c r="C97" s="399">
        <f t="shared" ref="C97:L97" si="15">SUM(C95:C96)</f>
        <v>2</v>
      </c>
      <c r="D97" s="399">
        <f t="shared" si="15"/>
        <v>163.65</v>
      </c>
      <c r="E97" s="399">
        <f t="shared" si="15"/>
        <v>0</v>
      </c>
      <c r="F97" s="399">
        <f t="shared" si="15"/>
        <v>0</v>
      </c>
      <c r="G97" s="399">
        <f t="shared" si="15"/>
        <v>0</v>
      </c>
      <c r="H97" s="399">
        <f t="shared" si="15"/>
        <v>0</v>
      </c>
      <c r="I97" s="399">
        <f t="shared" si="15"/>
        <v>2</v>
      </c>
      <c r="J97" s="399">
        <f t="shared" si="15"/>
        <v>163.65</v>
      </c>
      <c r="K97" s="399">
        <f t="shared" si="15"/>
        <v>5</v>
      </c>
      <c r="L97" s="400">
        <f t="shared" si="15"/>
        <v>5688.65</v>
      </c>
    </row>
    <row r="100" spans="1:12">
      <c r="A100" s="1651" t="s">
        <v>1424</v>
      </c>
      <c r="B100" s="1651"/>
      <c r="C100" s="1651"/>
      <c r="D100" s="1651"/>
      <c r="E100" s="1651"/>
      <c r="F100" s="1651"/>
      <c r="G100" s="1651"/>
      <c r="H100" s="1651"/>
      <c r="I100" s="1651"/>
      <c r="J100" s="1651"/>
      <c r="K100" s="1651"/>
      <c r="L100" s="1651"/>
    </row>
    <row r="101" spans="1:12" ht="15" thickBot="1"/>
    <row r="102" spans="1:12">
      <c r="A102" s="1741" t="s">
        <v>3544</v>
      </c>
      <c r="B102" s="1747" t="s">
        <v>3052</v>
      </c>
      <c r="C102" s="1743" t="s">
        <v>3053</v>
      </c>
      <c r="D102" s="1740"/>
      <c r="E102" s="1744" t="s">
        <v>3054</v>
      </c>
      <c r="F102" s="1745"/>
      <c r="G102" s="1739" t="s">
        <v>3055</v>
      </c>
      <c r="H102" s="1740"/>
      <c r="I102" s="1739" t="s">
        <v>3056</v>
      </c>
      <c r="J102" s="1740"/>
      <c r="K102" s="1739" t="s">
        <v>3057</v>
      </c>
      <c r="L102" s="1749"/>
    </row>
    <row r="103" spans="1:12" ht="24.75" thickBot="1">
      <c r="A103" s="1742"/>
      <c r="B103" s="1748"/>
      <c r="C103" s="383" t="s">
        <v>3058</v>
      </c>
      <c r="D103" s="384" t="s">
        <v>3059</v>
      </c>
      <c r="E103" s="383" t="s">
        <v>3058</v>
      </c>
      <c r="F103" s="384" t="s">
        <v>3059</v>
      </c>
      <c r="G103" s="383" t="s">
        <v>3058</v>
      </c>
      <c r="H103" s="384" t="s">
        <v>3059</v>
      </c>
      <c r="I103" s="383" t="s">
        <v>3058</v>
      </c>
      <c r="J103" s="384" t="s">
        <v>3059</v>
      </c>
      <c r="K103" s="383" t="s">
        <v>3058</v>
      </c>
      <c r="L103" s="385" t="s">
        <v>3059</v>
      </c>
    </row>
    <row r="104" spans="1:12">
      <c r="A104" s="386">
        <v>1</v>
      </c>
      <c r="B104" s="387" t="s">
        <v>3060</v>
      </c>
      <c r="C104" s="388">
        <v>0</v>
      </c>
      <c r="D104" s="388">
        <v>0</v>
      </c>
      <c r="E104" s="388">
        <v>0</v>
      </c>
      <c r="F104" s="388">
        <v>0</v>
      </c>
      <c r="G104" s="561">
        <v>0</v>
      </c>
      <c r="H104" s="561">
        <v>0</v>
      </c>
      <c r="I104" s="561">
        <f>C104+E104+G104</f>
        <v>0</v>
      </c>
      <c r="J104" s="561">
        <f>D104+F104+H104</f>
        <v>0</v>
      </c>
      <c r="K104" s="561">
        <f>I104</f>
        <v>0</v>
      </c>
      <c r="L104" s="390">
        <f>J104</f>
        <v>0</v>
      </c>
    </row>
    <row r="105" spans="1:12">
      <c r="A105" s="391">
        <v>2</v>
      </c>
      <c r="B105" s="392" t="s">
        <v>3061</v>
      </c>
      <c r="C105" s="393">
        <v>0</v>
      </c>
      <c r="D105" s="393">
        <v>0</v>
      </c>
      <c r="E105" s="393">
        <v>0</v>
      </c>
      <c r="F105" s="393">
        <v>0</v>
      </c>
      <c r="G105" s="562">
        <v>0</v>
      </c>
      <c r="H105" s="562">
        <v>0</v>
      </c>
      <c r="I105" s="561">
        <f>C105+E105+G105</f>
        <v>0</v>
      </c>
      <c r="J105" s="561">
        <f>D105+F105+H105</f>
        <v>0</v>
      </c>
      <c r="K105" s="561">
        <f>I105</f>
        <v>0</v>
      </c>
      <c r="L105" s="390">
        <f>J105</f>
        <v>0</v>
      </c>
    </row>
    <row r="106" spans="1:12" ht="15" thickBot="1">
      <c r="A106" s="1750" t="s">
        <v>3062</v>
      </c>
      <c r="B106" s="1751"/>
      <c r="C106" s="395">
        <f t="shared" ref="C106:L106" si="16">SUM(C104:C105)</f>
        <v>0</v>
      </c>
      <c r="D106" s="395">
        <f t="shared" si="16"/>
        <v>0</v>
      </c>
      <c r="E106" s="395">
        <f t="shared" si="16"/>
        <v>0</v>
      </c>
      <c r="F106" s="395">
        <f t="shared" si="16"/>
        <v>0</v>
      </c>
      <c r="G106" s="395">
        <f t="shared" si="16"/>
        <v>0</v>
      </c>
      <c r="H106" s="395">
        <f t="shared" si="16"/>
        <v>0</v>
      </c>
      <c r="I106" s="395">
        <f t="shared" si="16"/>
        <v>0</v>
      </c>
      <c r="J106" s="395">
        <f t="shared" si="16"/>
        <v>0</v>
      </c>
      <c r="K106" s="395">
        <f t="shared" si="16"/>
        <v>0</v>
      </c>
      <c r="L106" s="396">
        <f t="shared" si="16"/>
        <v>0</v>
      </c>
    </row>
    <row r="107" spans="1:12">
      <c r="A107" s="1741" t="s">
        <v>3544</v>
      </c>
      <c r="B107" s="1747" t="s">
        <v>3052</v>
      </c>
      <c r="C107" s="1743" t="s">
        <v>3063</v>
      </c>
      <c r="D107" s="1740"/>
      <c r="E107" s="1744" t="s">
        <v>3064</v>
      </c>
      <c r="F107" s="1745"/>
      <c r="G107" s="1739" t="s">
        <v>3065</v>
      </c>
      <c r="H107" s="1740"/>
      <c r="I107" s="1739" t="s">
        <v>3066</v>
      </c>
      <c r="J107" s="1740"/>
      <c r="K107" s="1739" t="s">
        <v>3057</v>
      </c>
      <c r="L107" s="1749"/>
    </row>
    <row r="108" spans="1:12" ht="24.75" thickBot="1">
      <c r="A108" s="1742"/>
      <c r="B108" s="1748"/>
      <c r="C108" s="383" t="s">
        <v>3058</v>
      </c>
      <c r="D108" s="384" t="s">
        <v>3059</v>
      </c>
      <c r="E108" s="383" t="s">
        <v>3058</v>
      </c>
      <c r="F108" s="384" t="s">
        <v>3059</v>
      </c>
      <c r="G108" s="383" t="s">
        <v>3058</v>
      </c>
      <c r="H108" s="384" t="s">
        <v>3059</v>
      </c>
      <c r="I108" s="383" t="s">
        <v>3058</v>
      </c>
      <c r="J108" s="384" t="s">
        <v>3059</v>
      </c>
      <c r="K108" s="383" t="s">
        <v>3058</v>
      </c>
      <c r="L108" s="385" t="s">
        <v>3059</v>
      </c>
    </row>
    <row r="109" spans="1:12">
      <c r="A109" s="386">
        <v>1</v>
      </c>
      <c r="B109" s="387" t="s">
        <v>3060</v>
      </c>
      <c r="C109" s="388">
        <v>0</v>
      </c>
      <c r="D109" s="388">
        <v>0</v>
      </c>
      <c r="E109" s="388">
        <v>0</v>
      </c>
      <c r="F109" s="388">
        <v>0</v>
      </c>
      <c r="G109" s="561">
        <v>0</v>
      </c>
      <c r="H109" s="561">
        <v>0</v>
      </c>
      <c r="I109" s="561">
        <f>C109+E109+G109</f>
        <v>0</v>
      </c>
      <c r="J109" s="561">
        <f>D109+F109+H109</f>
        <v>0</v>
      </c>
      <c r="K109" s="561">
        <f>K104+I109</f>
        <v>0</v>
      </c>
      <c r="L109" s="390">
        <f>L104+J109</f>
        <v>0</v>
      </c>
    </row>
    <row r="110" spans="1:12">
      <c r="A110" s="391">
        <v>2</v>
      </c>
      <c r="B110" s="392" t="s">
        <v>3061</v>
      </c>
      <c r="C110" s="393">
        <v>0</v>
      </c>
      <c r="D110" s="393">
        <v>0</v>
      </c>
      <c r="E110" s="393">
        <v>0</v>
      </c>
      <c r="F110" s="393">
        <v>0</v>
      </c>
      <c r="G110" s="562">
        <v>0</v>
      </c>
      <c r="H110" s="562">
        <v>0</v>
      </c>
      <c r="I110" s="561">
        <f>C110+E110+G110</f>
        <v>0</v>
      </c>
      <c r="J110" s="561">
        <f>D110+F110+H110</f>
        <v>0</v>
      </c>
      <c r="K110" s="562">
        <f>K105+I110</f>
        <v>0</v>
      </c>
      <c r="L110" s="563">
        <f>L105+J110</f>
        <v>0</v>
      </c>
    </row>
    <row r="111" spans="1:12" ht="15" thickBot="1">
      <c r="A111" s="1750" t="s">
        <v>3062</v>
      </c>
      <c r="B111" s="1751"/>
      <c r="C111" s="395">
        <f t="shared" ref="C111:L111" si="17">SUM(C109:C110)</f>
        <v>0</v>
      </c>
      <c r="D111" s="395">
        <f t="shared" si="17"/>
        <v>0</v>
      </c>
      <c r="E111" s="395">
        <f t="shared" si="17"/>
        <v>0</v>
      </c>
      <c r="F111" s="395">
        <f t="shared" si="17"/>
        <v>0</v>
      </c>
      <c r="G111" s="395">
        <f t="shared" si="17"/>
        <v>0</v>
      </c>
      <c r="H111" s="395">
        <f t="shared" si="17"/>
        <v>0</v>
      </c>
      <c r="I111" s="395">
        <f t="shared" si="17"/>
        <v>0</v>
      </c>
      <c r="J111" s="395">
        <f t="shared" si="17"/>
        <v>0</v>
      </c>
      <c r="K111" s="395">
        <f t="shared" si="17"/>
        <v>0</v>
      </c>
      <c r="L111" s="396">
        <f t="shared" si="17"/>
        <v>0</v>
      </c>
    </row>
    <row r="112" spans="1:12">
      <c r="A112" s="1741" t="s">
        <v>3544</v>
      </c>
      <c r="B112" s="1747" t="s">
        <v>3052</v>
      </c>
      <c r="C112" s="1743" t="s">
        <v>3067</v>
      </c>
      <c r="D112" s="1740"/>
      <c r="E112" s="1744" t="s">
        <v>3068</v>
      </c>
      <c r="F112" s="1745"/>
      <c r="G112" s="1739" t="s">
        <v>3069</v>
      </c>
      <c r="H112" s="1740"/>
      <c r="I112" s="1739" t="s">
        <v>3070</v>
      </c>
      <c r="J112" s="1740"/>
      <c r="K112" s="1739" t="s">
        <v>3057</v>
      </c>
      <c r="L112" s="1749"/>
    </row>
    <row r="113" spans="1:12" ht="24.75" thickBot="1">
      <c r="A113" s="1742"/>
      <c r="B113" s="1748"/>
      <c r="C113" s="383" t="s">
        <v>3058</v>
      </c>
      <c r="D113" s="384" t="s">
        <v>3059</v>
      </c>
      <c r="E113" s="383" t="s">
        <v>3058</v>
      </c>
      <c r="F113" s="384" t="s">
        <v>3059</v>
      </c>
      <c r="G113" s="383" t="s">
        <v>3058</v>
      </c>
      <c r="H113" s="384" t="s">
        <v>3059</v>
      </c>
      <c r="I113" s="383" t="s">
        <v>3058</v>
      </c>
      <c r="J113" s="384" t="s">
        <v>3059</v>
      </c>
      <c r="K113" s="383" t="s">
        <v>3058</v>
      </c>
      <c r="L113" s="385" t="s">
        <v>3059</v>
      </c>
    </row>
    <row r="114" spans="1:12">
      <c r="A114" s="386">
        <v>1</v>
      </c>
      <c r="B114" s="387" t="s">
        <v>3060</v>
      </c>
      <c r="C114" s="388">
        <v>7</v>
      </c>
      <c r="D114" s="388">
        <v>4435.2250000000004</v>
      </c>
      <c r="E114" s="388">
        <v>0</v>
      </c>
      <c r="F114" s="388">
        <v>0</v>
      </c>
      <c r="G114" s="561">
        <v>0</v>
      </c>
      <c r="H114" s="561">
        <v>0</v>
      </c>
      <c r="I114" s="561">
        <f>C114+E114+G114</f>
        <v>7</v>
      </c>
      <c r="J114" s="561">
        <f>D114+F114+H114</f>
        <v>4435.2250000000004</v>
      </c>
      <c r="K114" s="561">
        <f>K109+I114</f>
        <v>7</v>
      </c>
      <c r="L114" s="390">
        <f>L109+J114</f>
        <v>4435.2250000000004</v>
      </c>
    </row>
    <row r="115" spans="1:12">
      <c r="A115" s="391">
        <v>2</v>
      </c>
      <c r="B115" s="392" t="s">
        <v>3061</v>
      </c>
      <c r="C115" s="393">
        <v>0</v>
      </c>
      <c r="D115" s="393">
        <v>0</v>
      </c>
      <c r="E115" s="393">
        <v>0</v>
      </c>
      <c r="F115" s="393">
        <v>0</v>
      </c>
      <c r="G115" s="562">
        <v>0</v>
      </c>
      <c r="H115" s="562">
        <v>0</v>
      </c>
      <c r="I115" s="561">
        <f>C115+E115+G115</f>
        <v>0</v>
      </c>
      <c r="J115" s="561">
        <f>D115+F115+H115</f>
        <v>0</v>
      </c>
      <c r="K115" s="562">
        <f>K110+I115</f>
        <v>0</v>
      </c>
      <c r="L115" s="563">
        <f>L110+J115</f>
        <v>0</v>
      </c>
    </row>
    <row r="116" spans="1:12" ht="15" thickBot="1">
      <c r="A116" s="1750" t="s">
        <v>3062</v>
      </c>
      <c r="B116" s="1751"/>
      <c r="C116" s="395">
        <f t="shared" ref="C116:L116" si="18">SUM(C114:C115)</f>
        <v>7</v>
      </c>
      <c r="D116" s="395">
        <f t="shared" si="18"/>
        <v>4435.2250000000004</v>
      </c>
      <c r="E116" s="395">
        <f t="shared" si="18"/>
        <v>0</v>
      </c>
      <c r="F116" s="395">
        <f t="shared" si="18"/>
        <v>0</v>
      </c>
      <c r="G116" s="395">
        <f t="shared" si="18"/>
        <v>0</v>
      </c>
      <c r="H116" s="395">
        <f t="shared" si="18"/>
        <v>0</v>
      </c>
      <c r="I116" s="395">
        <f t="shared" si="18"/>
        <v>7</v>
      </c>
      <c r="J116" s="395">
        <f t="shared" si="18"/>
        <v>4435.2250000000004</v>
      </c>
      <c r="K116" s="395">
        <f t="shared" si="18"/>
        <v>7</v>
      </c>
      <c r="L116" s="396">
        <f t="shared" si="18"/>
        <v>4435.2250000000004</v>
      </c>
    </row>
    <row r="117" spans="1:12">
      <c r="A117" s="1741" t="s">
        <v>3544</v>
      </c>
      <c r="B117" s="1747" t="s">
        <v>3052</v>
      </c>
      <c r="C117" s="1743" t="s">
        <v>3071</v>
      </c>
      <c r="D117" s="1740"/>
      <c r="E117" s="1744" t="s">
        <v>3072</v>
      </c>
      <c r="F117" s="1745"/>
      <c r="G117" s="1739" t="s">
        <v>3073</v>
      </c>
      <c r="H117" s="1740"/>
      <c r="I117" s="1739" t="s">
        <v>3074</v>
      </c>
      <c r="J117" s="1740"/>
      <c r="K117" s="1739" t="s">
        <v>3057</v>
      </c>
      <c r="L117" s="1749"/>
    </row>
    <row r="118" spans="1:12" ht="24.75" thickBot="1">
      <c r="A118" s="1742"/>
      <c r="B118" s="1748"/>
      <c r="C118" s="383" t="s">
        <v>3058</v>
      </c>
      <c r="D118" s="384" t="s">
        <v>3059</v>
      </c>
      <c r="E118" s="383" t="s">
        <v>3058</v>
      </c>
      <c r="F118" s="384" t="s">
        <v>3059</v>
      </c>
      <c r="G118" s="383" t="s">
        <v>3058</v>
      </c>
      <c r="H118" s="384" t="s">
        <v>3059</v>
      </c>
      <c r="I118" s="383" t="s">
        <v>3058</v>
      </c>
      <c r="J118" s="384" t="s">
        <v>3059</v>
      </c>
      <c r="K118" s="383" t="s">
        <v>3058</v>
      </c>
      <c r="L118" s="385" t="s">
        <v>3059</v>
      </c>
    </row>
    <row r="119" spans="1:12">
      <c r="A119" s="386">
        <v>1</v>
      </c>
      <c r="B119" s="387" t="s">
        <v>3060</v>
      </c>
      <c r="C119" s="388">
        <v>0</v>
      </c>
      <c r="D119" s="388">
        <v>0</v>
      </c>
      <c r="E119" s="388">
        <v>0</v>
      </c>
      <c r="F119" s="388">
        <v>0</v>
      </c>
      <c r="G119" s="561">
        <v>0</v>
      </c>
      <c r="H119" s="561">
        <v>0</v>
      </c>
      <c r="I119" s="561">
        <f>C119+E119+G119</f>
        <v>0</v>
      </c>
      <c r="J119" s="561">
        <f>D119+F119+H119</f>
        <v>0</v>
      </c>
      <c r="K119" s="561">
        <f>K114+I119</f>
        <v>7</v>
      </c>
      <c r="L119" s="390">
        <f>L114+J119</f>
        <v>4435.2250000000004</v>
      </c>
    </row>
    <row r="120" spans="1:12">
      <c r="A120" s="391">
        <v>2</v>
      </c>
      <c r="B120" s="392" t="s">
        <v>3061</v>
      </c>
      <c r="C120" s="393">
        <v>0</v>
      </c>
      <c r="D120" s="393">
        <v>0</v>
      </c>
      <c r="E120" s="393">
        <v>0</v>
      </c>
      <c r="F120" s="393">
        <v>0</v>
      </c>
      <c r="G120" s="562">
        <v>1</v>
      </c>
      <c r="H120" s="562">
        <v>750</v>
      </c>
      <c r="I120" s="561">
        <f>C120+E120+G120</f>
        <v>1</v>
      </c>
      <c r="J120" s="561">
        <f>D120+F120+H120</f>
        <v>750</v>
      </c>
      <c r="K120" s="562">
        <f>K115+I120</f>
        <v>1</v>
      </c>
      <c r="L120" s="563">
        <f>L115+J120</f>
        <v>750</v>
      </c>
    </row>
    <row r="121" spans="1:12" ht="15" thickBot="1">
      <c r="A121" s="1737" t="s">
        <v>3062</v>
      </c>
      <c r="B121" s="1738"/>
      <c r="C121" s="399">
        <f t="shared" ref="C121:L121" si="19">SUM(C119:C120)</f>
        <v>0</v>
      </c>
      <c r="D121" s="399">
        <f t="shared" si="19"/>
        <v>0</v>
      </c>
      <c r="E121" s="399">
        <f t="shared" si="19"/>
        <v>0</v>
      </c>
      <c r="F121" s="399">
        <f t="shared" si="19"/>
        <v>0</v>
      </c>
      <c r="G121" s="399">
        <f t="shared" si="19"/>
        <v>1</v>
      </c>
      <c r="H121" s="399">
        <f t="shared" si="19"/>
        <v>750</v>
      </c>
      <c r="I121" s="399">
        <f t="shared" si="19"/>
        <v>1</v>
      </c>
      <c r="J121" s="399">
        <f t="shared" si="19"/>
        <v>750</v>
      </c>
      <c r="K121" s="399">
        <f t="shared" si="19"/>
        <v>8</v>
      </c>
      <c r="L121" s="400">
        <f t="shared" si="19"/>
        <v>5185.2250000000004</v>
      </c>
    </row>
    <row r="124" spans="1:12">
      <c r="A124" s="1651" t="s">
        <v>1425</v>
      </c>
      <c r="B124" s="1651"/>
      <c r="C124" s="1651"/>
      <c r="D124" s="1651"/>
      <c r="E124" s="1651"/>
      <c r="F124" s="1651"/>
      <c r="G124" s="1651"/>
      <c r="H124" s="1651"/>
      <c r="I124" s="1651"/>
      <c r="J124" s="1651"/>
      <c r="K124" s="1651"/>
      <c r="L124" s="1651"/>
    </row>
    <row r="125" spans="1:12" ht="15" thickBot="1"/>
    <row r="126" spans="1:12">
      <c r="A126" s="1741" t="s">
        <v>3544</v>
      </c>
      <c r="B126" s="1747" t="s">
        <v>3052</v>
      </c>
      <c r="C126" s="1743" t="s">
        <v>3053</v>
      </c>
      <c r="D126" s="1740"/>
      <c r="E126" s="1744" t="s">
        <v>3054</v>
      </c>
      <c r="F126" s="1745"/>
      <c r="G126" s="1739" t="s">
        <v>3055</v>
      </c>
      <c r="H126" s="1740"/>
      <c r="I126" s="1739" t="s">
        <v>3056</v>
      </c>
      <c r="J126" s="1740"/>
      <c r="K126" s="1739" t="s">
        <v>3057</v>
      </c>
      <c r="L126" s="1749"/>
    </row>
    <row r="127" spans="1:12" ht="24.75" thickBot="1">
      <c r="A127" s="1742"/>
      <c r="B127" s="1748"/>
      <c r="C127" s="383" t="s">
        <v>3058</v>
      </c>
      <c r="D127" s="384" t="s">
        <v>3059</v>
      </c>
      <c r="E127" s="383" t="s">
        <v>3058</v>
      </c>
      <c r="F127" s="384" t="s">
        <v>3059</v>
      </c>
      <c r="G127" s="383" t="s">
        <v>3058</v>
      </c>
      <c r="H127" s="384" t="s">
        <v>3059</v>
      </c>
      <c r="I127" s="383" t="s">
        <v>3058</v>
      </c>
      <c r="J127" s="384" t="s">
        <v>3059</v>
      </c>
      <c r="K127" s="383" t="s">
        <v>3058</v>
      </c>
      <c r="L127" s="385" t="s">
        <v>3059</v>
      </c>
    </row>
    <row r="128" spans="1:12">
      <c r="A128" s="386">
        <v>1</v>
      </c>
      <c r="B128" s="387" t="s">
        <v>3060</v>
      </c>
      <c r="C128" s="388">
        <v>0</v>
      </c>
      <c r="D128" s="388">
        <v>0</v>
      </c>
      <c r="E128" s="388">
        <v>0</v>
      </c>
      <c r="F128" s="388">
        <v>0</v>
      </c>
      <c r="G128" s="561">
        <v>1</v>
      </c>
      <c r="H128" s="561">
        <v>500</v>
      </c>
      <c r="I128" s="561">
        <f>C128+E128+G128</f>
        <v>1</v>
      </c>
      <c r="J128" s="561">
        <f>D128+F128+H128</f>
        <v>500</v>
      </c>
      <c r="K128" s="561">
        <f>I128</f>
        <v>1</v>
      </c>
      <c r="L128" s="390">
        <f>J128</f>
        <v>500</v>
      </c>
    </row>
    <row r="129" spans="1:12">
      <c r="A129" s="391">
        <v>2</v>
      </c>
      <c r="B129" s="392" t="s">
        <v>3061</v>
      </c>
      <c r="C129" s="393">
        <v>0</v>
      </c>
      <c r="D129" s="393">
        <v>0</v>
      </c>
      <c r="E129" s="393">
        <v>0</v>
      </c>
      <c r="F129" s="393">
        <v>0</v>
      </c>
      <c r="G129" s="562">
        <v>0</v>
      </c>
      <c r="H129" s="562">
        <v>0</v>
      </c>
      <c r="I129" s="561">
        <f>C129+E129+G129</f>
        <v>0</v>
      </c>
      <c r="J129" s="561">
        <f>D129+F129+H129</f>
        <v>0</v>
      </c>
      <c r="K129" s="561">
        <f>I129</f>
        <v>0</v>
      </c>
      <c r="L129" s="390">
        <f>J129</f>
        <v>0</v>
      </c>
    </row>
    <row r="130" spans="1:12" ht="15" thickBot="1">
      <c r="A130" s="1750" t="s">
        <v>3062</v>
      </c>
      <c r="B130" s="1751"/>
      <c r="C130" s="395">
        <f t="shared" ref="C130:L130" si="20">SUM(C128:C129)</f>
        <v>0</v>
      </c>
      <c r="D130" s="395">
        <f t="shared" si="20"/>
        <v>0</v>
      </c>
      <c r="E130" s="395">
        <f t="shared" si="20"/>
        <v>0</v>
      </c>
      <c r="F130" s="395">
        <f t="shared" si="20"/>
        <v>0</v>
      </c>
      <c r="G130" s="395">
        <f t="shared" si="20"/>
        <v>1</v>
      </c>
      <c r="H130" s="395">
        <f t="shared" si="20"/>
        <v>500</v>
      </c>
      <c r="I130" s="395">
        <f t="shared" si="20"/>
        <v>1</v>
      </c>
      <c r="J130" s="395">
        <f t="shared" si="20"/>
        <v>500</v>
      </c>
      <c r="K130" s="395">
        <f t="shared" si="20"/>
        <v>1</v>
      </c>
      <c r="L130" s="396">
        <f t="shared" si="20"/>
        <v>500</v>
      </c>
    </row>
    <row r="131" spans="1:12">
      <c r="A131" s="1741" t="s">
        <v>3544</v>
      </c>
      <c r="B131" s="1747" t="s">
        <v>3052</v>
      </c>
      <c r="C131" s="1743" t="s">
        <v>3063</v>
      </c>
      <c r="D131" s="1740"/>
      <c r="E131" s="1744" t="s">
        <v>3064</v>
      </c>
      <c r="F131" s="1745"/>
      <c r="G131" s="1739" t="s">
        <v>3065</v>
      </c>
      <c r="H131" s="1740"/>
      <c r="I131" s="1739" t="s">
        <v>3066</v>
      </c>
      <c r="J131" s="1740"/>
      <c r="K131" s="1739" t="s">
        <v>3057</v>
      </c>
      <c r="L131" s="1749"/>
    </row>
    <row r="132" spans="1:12" ht="24.75" thickBot="1">
      <c r="A132" s="1742"/>
      <c r="B132" s="1748"/>
      <c r="C132" s="383" t="s">
        <v>3058</v>
      </c>
      <c r="D132" s="384" t="s">
        <v>3059</v>
      </c>
      <c r="E132" s="383" t="s">
        <v>3058</v>
      </c>
      <c r="F132" s="384" t="s">
        <v>3059</v>
      </c>
      <c r="G132" s="383" t="s">
        <v>3058</v>
      </c>
      <c r="H132" s="384" t="s">
        <v>3059</v>
      </c>
      <c r="I132" s="383" t="s">
        <v>3058</v>
      </c>
      <c r="J132" s="384" t="s">
        <v>3059</v>
      </c>
      <c r="K132" s="383" t="s">
        <v>3058</v>
      </c>
      <c r="L132" s="385" t="s">
        <v>3059</v>
      </c>
    </row>
    <row r="133" spans="1:12">
      <c r="A133" s="386">
        <v>1</v>
      </c>
      <c r="B133" s="387" t="s">
        <v>3060</v>
      </c>
      <c r="C133" s="388">
        <v>0</v>
      </c>
      <c r="D133" s="388">
        <v>0</v>
      </c>
      <c r="E133" s="388">
        <v>0</v>
      </c>
      <c r="F133" s="388">
        <v>0</v>
      </c>
      <c r="G133" s="561">
        <v>1</v>
      </c>
      <c r="H133" s="561">
        <v>60</v>
      </c>
      <c r="I133" s="561">
        <f>C133+E133+G133</f>
        <v>1</v>
      </c>
      <c r="J133" s="561">
        <f>D133+F133+H133</f>
        <v>60</v>
      </c>
      <c r="K133" s="561">
        <f>K128+I133</f>
        <v>2</v>
      </c>
      <c r="L133" s="390">
        <f>L128+J133</f>
        <v>560</v>
      </c>
    </row>
    <row r="134" spans="1:12">
      <c r="A134" s="391">
        <v>2</v>
      </c>
      <c r="B134" s="392" t="s">
        <v>3061</v>
      </c>
      <c r="C134" s="393">
        <v>0</v>
      </c>
      <c r="D134" s="393">
        <v>0</v>
      </c>
      <c r="E134" s="393">
        <v>0</v>
      </c>
      <c r="F134" s="393">
        <v>0</v>
      </c>
      <c r="G134" s="562">
        <v>0</v>
      </c>
      <c r="H134" s="562">
        <v>0</v>
      </c>
      <c r="I134" s="561">
        <f>C134+E134+G134</f>
        <v>0</v>
      </c>
      <c r="J134" s="561">
        <f>D134+F134+H134</f>
        <v>0</v>
      </c>
      <c r="K134" s="562">
        <f>K129+I134</f>
        <v>0</v>
      </c>
      <c r="L134" s="563">
        <f>L129+J134</f>
        <v>0</v>
      </c>
    </row>
    <row r="135" spans="1:12" ht="15" thickBot="1">
      <c r="A135" s="1750" t="s">
        <v>3062</v>
      </c>
      <c r="B135" s="1751"/>
      <c r="C135" s="395">
        <f t="shared" ref="C135:L135" si="21">SUM(C133:C134)</f>
        <v>0</v>
      </c>
      <c r="D135" s="395">
        <f t="shared" si="21"/>
        <v>0</v>
      </c>
      <c r="E135" s="395">
        <f t="shared" si="21"/>
        <v>0</v>
      </c>
      <c r="F135" s="395">
        <f t="shared" si="21"/>
        <v>0</v>
      </c>
      <c r="G135" s="395">
        <f t="shared" si="21"/>
        <v>1</v>
      </c>
      <c r="H135" s="395">
        <f t="shared" si="21"/>
        <v>60</v>
      </c>
      <c r="I135" s="395">
        <f t="shared" si="21"/>
        <v>1</v>
      </c>
      <c r="J135" s="395">
        <f t="shared" si="21"/>
        <v>60</v>
      </c>
      <c r="K135" s="395">
        <f t="shared" si="21"/>
        <v>2</v>
      </c>
      <c r="L135" s="396">
        <f t="shared" si="21"/>
        <v>560</v>
      </c>
    </row>
    <row r="136" spans="1:12">
      <c r="A136" s="1741" t="s">
        <v>3544</v>
      </c>
      <c r="B136" s="1747" t="s">
        <v>3052</v>
      </c>
      <c r="C136" s="1743" t="s">
        <v>3067</v>
      </c>
      <c r="D136" s="1740"/>
      <c r="E136" s="1744" t="s">
        <v>3068</v>
      </c>
      <c r="F136" s="1745"/>
      <c r="G136" s="1739" t="s">
        <v>3069</v>
      </c>
      <c r="H136" s="1740"/>
      <c r="I136" s="1739" t="s">
        <v>3070</v>
      </c>
      <c r="J136" s="1740"/>
      <c r="K136" s="1739" t="s">
        <v>3057</v>
      </c>
      <c r="L136" s="1749"/>
    </row>
    <row r="137" spans="1:12" ht="24.75" thickBot="1">
      <c r="A137" s="1742"/>
      <c r="B137" s="1748"/>
      <c r="C137" s="383" t="s">
        <v>3058</v>
      </c>
      <c r="D137" s="384" t="s">
        <v>3059</v>
      </c>
      <c r="E137" s="383" t="s">
        <v>3058</v>
      </c>
      <c r="F137" s="384" t="s">
        <v>3059</v>
      </c>
      <c r="G137" s="383" t="s">
        <v>3058</v>
      </c>
      <c r="H137" s="384" t="s">
        <v>3059</v>
      </c>
      <c r="I137" s="383" t="s">
        <v>3058</v>
      </c>
      <c r="J137" s="384" t="s">
        <v>3059</v>
      </c>
      <c r="K137" s="383" t="s">
        <v>3058</v>
      </c>
      <c r="L137" s="385" t="s">
        <v>3059</v>
      </c>
    </row>
    <row r="138" spans="1:12">
      <c r="A138" s="386">
        <v>1</v>
      </c>
      <c r="B138" s="387" t="s">
        <v>3060</v>
      </c>
      <c r="C138" s="388">
        <v>0</v>
      </c>
      <c r="D138" s="388">
        <v>0</v>
      </c>
      <c r="E138" s="388">
        <v>0</v>
      </c>
      <c r="F138" s="388">
        <v>0</v>
      </c>
      <c r="G138" s="561">
        <v>0</v>
      </c>
      <c r="H138" s="561">
        <v>0</v>
      </c>
      <c r="I138" s="561">
        <f>C138+E138+G138</f>
        <v>0</v>
      </c>
      <c r="J138" s="561">
        <f>D138+F138+H138</f>
        <v>0</v>
      </c>
      <c r="K138" s="561">
        <f>K133+I138</f>
        <v>2</v>
      </c>
      <c r="L138" s="390">
        <f>L133+J138</f>
        <v>560</v>
      </c>
    </row>
    <row r="139" spans="1:12">
      <c r="A139" s="391">
        <v>2</v>
      </c>
      <c r="B139" s="392" t="s">
        <v>3061</v>
      </c>
      <c r="C139" s="393">
        <v>0</v>
      </c>
      <c r="D139" s="393">
        <v>0</v>
      </c>
      <c r="E139" s="393">
        <v>0</v>
      </c>
      <c r="F139" s="393">
        <v>0</v>
      </c>
      <c r="G139" s="562">
        <v>0</v>
      </c>
      <c r="H139" s="562">
        <v>0</v>
      </c>
      <c r="I139" s="561">
        <f>C139+E139+G139</f>
        <v>0</v>
      </c>
      <c r="J139" s="561">
        <f>D139+F139+H139</f>
        <v>0</v>
      </c>
      <c r="K139" s="562">
        <f>K134+I139</f>
        <v>0</v>
      </c>
      <c r="L139" s="563">
        <f>L134+J139</f>
        <v>0</v>
      </c>
    </row>
    <row r="140" spans="1:12" ht="15" thickBot="1">
      <c r="A140" s="1750" t="s">
        <v>3062</v>
      </c>
      <c r="B140" s="1751"/>
      <c r="C140" s="395">
        <f t="shared" ref="C140:L140" si="22">SUM(C138:C139)</f>
        <v>0</v>
      </c>
      <c r="D140" s="395">
        <f t="shared" si="22"/>
        <v>0</v>
      </c>
      <c r="E140" s="395">
        <f t="shared" si="22"/>
        <v>0</v>
      </c>
      <c r="F140" s="395">
        <f t="shared" si="22"/>
        <v>0</v>
      </c>
      <c r="G140" s="395">
        <f t="shared" si="22"/>
        <v>0</v>
      </c>
      <c r="H140" s="395">
        <f t="shared" si="22"/>
        <v>0</v>
      </c>
      <c r="I140" s="395">
        <f t="shared" si="22"/>
        <v>0</v>
      </c>
      <c r="J140" s="395">
        <f t="shared" si="22"/>
        <v>0</v>
      </c>
      <c r="K140" s="395">
        <f t="shared" si="22"/>
        <v>2</v>
      </c>
      <c r="L140" s="396">
        <f t="shared" si="22"/>
        <v>560</v>
      </c>
    </row>
    <row r="141" spans="1:12">
      <c r="A141" s="1741" t="s">
        <v>3544</v>
      </c>
      <c r="B141" s="1747" t="s">
        <v>3052</v>
      </c>
      <c r="C141" s="1743" t="s">
        <v>3071</v>
      </c>
      <c r="D141" s="1740"/>
      <c r="E141" s="1744" t="s">
        <v>3072</v>
      </c>
      <c r="F141" s="1745"/>
      <c r="G141" s="1739" t="s">
        <v>3073</v>
      </c>
      <c r="H141" s="1740"/>
      <c r="I141" s="1739" t="s">
        <v>3074</v>
      </c>
      <c r="J141" s="1740"/>
      <c r="K141" s="1739" t="s">
        <v>3057</v>
      </c>
      <c r="L141" s="1749"/>
    </row>
    <row r="142" spans="1:12" ht="24.75" thickBot="1">
      <c r="A142" s="1742"/>
      <c r="B142" s="1748"/>
      <c r="C142" s="383" t="s">
        <v>3058</v>
      </c>
      <c r="D142" s="384" t="s">
        <v>3059</v>
      </c>
      <c r="E142" s="383" t="s">
        <v>3058</v>
      </c>
      <c r="F142" s="384" t="s">
        <v>3059</v>
      </c>
      <c r="G142" s="383" t="s">
        <v>3058</v>
      </c>
      <c r="H142" s="384" t="s">
        <v>3059</v>
      </c>
      <c r="I142" s="383" t="s">
        <v>3058</v>
      </c>
      <c r="J142" s="384" t="s">
        <v>3059</v>
      </c>
      <c r="K142" s="383" t="s">
        <v>3058</v>
      </c>
      <c r="L142" s="385" t="s">
        <v>3059</v>
      </c>
    </row>
    <row r="143" spans="1:12">
      <c r="A143" s="386">
        <v>1</v>
      </c>
      <c r="B143" s="387" t="s">
        <v>3060</v>
      </c>
      <c r="C143" s="388">
        <v>0</v>
      </c>
      <c r="D143" s="388">
        <v>0</v>
      </c>
      <c r="E143" s="388">
        <v>0</v>
      </c>
      <c r="F143" s="388">
        <v>0</v>
      </c>
      <c r="G143" s="561">
        <v>0</v>
      </c>
      <c r="H143" s="561">
        <v>0</v>
      </c>
      <c r="I143" s="561">
        <f>C143+E143+G143</f>
        <v>0</v>
      </c>
      <c r="J143" s="561">
        <f>D143+F143+H143</f>
        <v>0</v>
      </c>
      <c r="K143" s="561">
        <f>K138+I143</f>
        <v>2</v>
      </c>
      <c r="L143" s="390">
        <f>L138+J143</f>
        <v>560</v>
      </c>
    </row>
    <row r="144" spans="1:12">
      <c r="A144" s="391">
        <v>2</v>
      </c>
      <c r="B144" s="392" t="s">
        <v>3061</v>
      </c>
      <c r="C144" s="393">
        <v>0</v>
      </c>
      <c r="D144" s="393">
        <v>0</v>
      </c>
      <c r="E144" s="393">
        <v>0</v>
      </c>
      <c r="F144" s="393">
        <v>0</v>
      </c>
      <c r="G144" s="562">
        <v>0</v>
      </c>
      <c r="H144" s="562">
        <v>0</v>
      </c>
      <c r="I144" s="561">
        <f>C144+E144+G144</f>
        <v>0</v>
      </c>
      <c r="J144" s="561">
        <f>D144+F144+H144</f>
        <v>0</v>
      </c>
      <c r="K144" s="562">
        <f>K139+I144</f>
        <v>0</v>
      </c>
      <c r="L144" s="563">
        <f>L139+J144</f>
        <v>0</v>
      </c>
    </row>
    <row r="145" spans="1:12" ht="15" thickBot="1">
      <c r="A145" s="1737" t="s">
        <v>3062</v>
      </c>
      <c r="B145" s="1738"/>
      <c r="C145" s="399">
        <f t="shared" ref="C145:L145" si="23">SUM(C143:C144)</f>
        <v>0</v>
      </c>
      <c r="D145" s="399">
        <f t="shared" si="23"/>
        <v>0</v>
      </c>
      <c r="E145" s="399">
        <f t="shared" si="23"/>
        <v>0</v>
      </c>
      <c r="F145" s="399">
        <f t="shared" si="23"/>
        <v>0</v>
      </c>
      <c r="G145" s="399">
        <f t="shared" si="23"/>
        <v>0</v>
      </c>
      <c r="H145" s="399">
        <f t="shared" si="23"/>
        <v>0</v>
      </c>
      <c r="I145" s="399">
        <f t="shared" si="23"/>
        <v>0</v>
      </c>
      <c r="J145" s="399">
        <f t="shared" si="23"/>
        <v>0</v>
      </c>
      <c r="K145" s="399">
        <f t="shared" si="23"/>
        <v>2</v>
      </c>
      <c r="L145" s="400">
        <f t="shared" si="23"/>
        <v>560</v>
      </c>
    </row>
    <row r="148" spans="1:12">
      <c r="A148" s="1651" t="s">
        <v>1426</v>
      </c>
      <c r="B148" s="1651"/>
      <c r="C148" s="1651"/>
      <c r="D148" s="1651"/>
      <c r="E148" s="1651"/>
      <c r="F148" s="1651"/>
      <c r="G148" s="1651"/>
      <c r="H148" s="1651"/>
      <c r="I148" s="1651"/>
      <c r="J148" s="1651"/>
      <c r="K148" s="1651"/>
      <c r="L148" s="1651"/>
    </row>
    <row r="149" spans="1:12" ht="15" thickBot="1"/>
    <row r="150" spans="1:12">
      <c r="A150" s="1741" t="s">
        <v>3544</v>
      </c>
      <c r="B150" s="1747" t="s">
        <v>3052</v>
      </c>
      <c r="C150" s="1743" t="s">
        <v>3053</v>
      </c>
      <c r="D150" s="1740"/>
      <c r="E150" s="1744" t="s">
        <v>3054</v>
      </c>
      <c r="F150" s="1745"/>
      <c r="G150" s="1739" t="s">
        <v>3055</v>
      </c>
      <c r="H150" s="1740"/>
      <c r="I150" s="1739" t="s">
        <v>3056</v>
      </c>
      <c r="J150" s="1740"/>
      <c r="K150" s="1739" t="s">
        <v>3057</v>
      </c>
      <c r="L150" s="1749"/>
    </row>
    <row r="151" spans="1:12" ht="24.75" thickBot="1">
      <c r="A151" s="1742"/>
      <c r="B151" s="1748"/>
      <c r="C151" s="383" t="s">
        <v>3058</v>
      </c>
      <c r="D151" s="384" t="s">
        <v>3059</v>
      </c>
      <c r="E151" s="383" t="s">
        <v>3058</v>
      </c>
      <c r="F151" s="384" t="s">
        <v>3059</v>
      </c>
      <c r="G151" s="383" t="s">
        <v>3058</v>
      </c>
      <c r="H151" s="384" t="s">
        <v>3059</v>
      </c>
      <c r="I151" s="383" t="s">
        <v>3058</v>
      </c>
      <c r="J151" s="384" t="s">
        <v>3059</v>
      </c>
      <c r="K151" s="383" t="s">
        <v>3058</v>
      </c>
      <c r="L151" s="385" t="s">
        <v>3059</v>
      </c>
    </row>
    <row r="152" spans="1:12">
      <c r="A152" s="386">
        <v>1</v>
      </c>
      <c r="B152" s="387" t="s">
        <v>3060</v>
      </c>
      <c r="C152" s="388">
        <v>0</v>
      </c>
      <c r="D152" s="388">
        <v>0</v>
      </c>
      <c r="E152" s="388">
        <v>0</v>
      </c>
      <c r="F152" s="388">
        <v>0</v>
      </c>
      <c r="G152" s="561">
        <v>1</v>
      </c>
      <c r="H152" s="561">
        <v>550</v>
      </c>
      <c r="I152" s="561">
        <f>C152+E152+G152</f>
        <v>1</v>
      </c>
      <c r="J152" s="561">
        <f>D152+F152+H152</f>
        <v>550</v>
      </c>
      <c r="K152" s="561">
        <f>I152</f>
        <v>1</v>
      </c>
      <c r="L152" s="390">
        <f>J152</f>
        <v>550</v>
      </c>
    </row>
    <row r="153" spans="1:12">
      <c r="A153" s="391">
        <v>2</v>
      </c>
      <c r="B153" s="392" t="s">
        <v>3061</v>
      </c>
      <c r="C153" s="393">
        <v>0</v>
      </c>
      <c r="D153" s="393">
        <v>0</v>
      </c>
      <c r="E153" s="393">
        <v>0</v>
      </c>
      <c r="F153" s="393">
        <v>0</v>
      </c>
      <c r="G153" s="562">
        <v>0</v>
      </c>
      <c r="H153" s="562">
        <v>0</v>
      </c>
      <c r="I153" s="561">
        <f>C153+E153+G153</f>
        <v>0</v>
      </c>
      <c r="J153" s="561">
        <f>D153+F153+H153</f>
        <v>0</v>
      </c>
      <c r="K153" s="561">
        <f>I153</f>
        <v>0</v>
      </c>
      <c r="L153" s="390">
        <f>J153</f>
        <v>0</v>
      </c>
    </row>
    <row r="154" spans="1:12" ht="15" thickBot="1">
      <c r="A154" s="1750" t="s">
        <v>3062</v>
      </c>
      <c r="B154" s="1751"/>
      <c r="C154" s="395">
        <f t="shared" ref="C154:L154" si="24">SUM(C152:C153)</f>
        <v>0</v>
      </c>
      <c r="D154" s="395">
        <f t="shared" si="24"/>
        <v>0</v>
      </c>
      <c r="E154" s="395">
        <f t="shared" si="24"/>
        <v>0</v>
      </c>
      <c r="F154" s="395">
        <f t="shared" si="24"/>
        <v>0</v>
      </c>
      <c r="G154" s="395">
        <f t="shared" si="24"/>
        <v>1</v>
      </c>
      <c r="H154" s="395">
        <f t="shared" si="24"/>
        <v>550</v>
      </c>
      <c r="I154" s="395">
        <f t="shared" si="24"/>
        <v>1</v>
      </c>
      <c r="J154" s="395">
        <f t="shared" si="24"/>
        <v>550</v>
      </c>
      <c r="K154" s="395">
        <f t="shared" si="24"/>
        <v>1</v>
      </c>
      <c r="L154" s="396">
        <f t="shared" si="24"/>
        <v>550</v>
      </c>
    </row>
    <row r="155" spans="1:12">
      <c r="A155" s="1741" t="s">
        <v>3544</v>
      </c>
      <c r="B155" s="1747" t="s">
        <v>3052</v>
      </c>
      <c r="C155" s="1743" t="s">
        <v>3063</v>
      </c>
      <c r="D155" s="1740"/>
      <c r="E155" s="1744" t="s">
        <v>3064</v>
      </c>
      <c r="F155" s="1745"/>
      <c r="G155" s="1739" t="s">
        <v>3065</v>
      </c>
      <c r="H155" s="1740"/>
      <c r="I155" s="1739" t="s">
        <v>3066</v>
      </c>
      <c r="J155" s="1740"/>
      <c r="K155" s="1739" t="s">
        <v>3057</v>
      </c>
      <c r="L155" s="1749"/>
    </row>
    <row r="156" spans="1:12" ht="24.75" thickBot="1">
      <c r="A156" s="1742"/>
      <c r="B156" s="1748"/>
      <c r="C156" s="383" t="s">
        <v>3058</v>
      </c>
      <c r="D156" s="384" t="s">
        <v>3059</v>
      </c>
      <c r="E156" s="383" t="s">
        <v>3058</v>
      </c>
      <c r="F156" s="384" t="s">
        <v>3059</v>
      </c>
      <c r="G156" s="383" t="s">
        <v>3058</v>
      </c>
      <c r="H156" s="384" t="s">
        <v>3059</v>
      </c>
      <c r="I156" s="383" t="s">
        <v>3058</v>
      </c>
      <c r="J156" s="384" t="s">
        <v>3059</v>
      </c>
      <c r="K156" s="383" t="s">
        <v>3058</v>
      </c>
      <c r="L156" s="385" t="s">
        <v>3059</v>
      </c>
    </row>
    <row r="157" spans="1:12">
      <c r="A157" s="386">
        <v>1</v>
      </c>
      <c r="B157" s="387" t="s">
        <v>3060</v>
      </c>
      <c r="C157" s="388">
        <v>1</v>
      </c>
      <c r="D157" s="388">
        <v>120</v>
      </c>
      <c r="E157" s="388">
        <v>0</v>
      </c>
      <c r="F157" s="388">
        <v>0</v>
      </c>
      <c r="G157" s="561">
        <v>0</v>
      </c>
      <c r="H157" s="561">
        <v>0</v>
      </c>
      <c r="I157" s="561">
        <f>C157+E157+G157</f>
        <v>1</v>
      </c>
      <c r="J157" s="561">
        <f>D157+F157+H157</f>
        <v>120</v>
      </c>
      <c r="K157" s="561">
        <f>K152+I157</f>
        <v>2</v>
      </c>
      <c r="L157" s="390">
        <f>L152+J157</f>
        <v>670</v>
      </c>
    </row>
    <row r="158" spans="1:12">
      <c r="A158" s="391">
        <v>2</v>
      </c>
      <c r="B158" s="392" t="s">
        <v>3061</v>
      </c>
      <c r="C158" s="393">
        <v>0</v>
      </c>
      <c r="D158" s="393">
        <v>0</v>
      </c>
      <c r="E158" s="393">
        <v>0</v>
      </c>
      <c r="F158" s="393">
        <v>0</v>
      </c>
      <c r="G158" s="562">
        <v>0</v>
      </c>
      <c r="H158" s="562">
        <v>0</v>
      </c>
      <c r="I158" s="561">
        <f>C158+E158+G158</f>
        <v>0</v>
      </c>
      <c r="J158" s="561">
        <f>D158+F158+H158</f>
        <v>0</v>
      </c>
      <c r="K158" s="562">
        <f>K153+I158</f>
        <v>0</v>
      </c>
      <c r="L158" s="563">
        <f>L153+J158</f>
        <v>0</v>
      </c>
    </row>
    <row r="159" spans="1:12" ht="15" thickBot="1">
      <c r="A159" s="1750" t="s">
        <v>3062</v>
      </c>
      <c r="B159" s="1751"/>
      <c r="C159" s="395">
        <f t="shared" ref="C159:L159" si="25">SUM(C157:C158)</f>
        <v>1</v>
      </c>
      <c r="D159" s="395">
        <f t="shared" si="25"/>
        <v>120</v>
      </c>
      <c r="E159" s="395">
        <f t="shared" si="25"/>
        <v>0</v>
      </c>
      <c r="F159" s="395">
        <f t="shared" si="25"/>
        <v>0</v>
      </c>
      <c r="G159" s="395">
        <f t="shared" si="25"/>
        <v>0</v>
      </c>
      <c r="H159" s="395">
        <f t="shared" si="25"/>
        <v>0</v>
      </c>
      <c r="I159" s="395">
        <f t="shared" si="25"/>
        <v>1</v>
      </c>
      <c r="J159" s="395">
        <f t="shared" si="25"/>
        <v>120</v>
      </c>
      <c r="K159" s="395">
        <f t="shared" si="25"/>
        <v>2</v>
      </c>
      <c r="L159" s="396">
        <f t="shared" si="25"/>
        <v>670</v>
      </c>
    </row>
    <row r="160" spans="1:12">
      <c r="A160" s="1741" t="s">
        <v>3544</v>
      </c>
      <c r="B160" s="1747" t="s">
        <v>3052</v>
      </c>
      <c r="C160" s="1743" t="s">
        <v>3067</v>
      </c>
      <c r="D160" s="1740"/>
      <c r="E160" s="1744" t="s">
        <v>3068</v>
      </c>
      <c r="F160" s="1745"/>
      <c r="G160" s="1739" t="s">
        <v>3069</v>
      </c>
      <c r="H160" s="1740"/>
      <c r="I160" s="1739" t="s">
        <v>3070</v>
      </c>
      <c r="J160" s="1740"/>
      <c r="K160" s="1739" t="s">
        <v>3057</v>
      </c>
      <c r="L160" s="1749"/>
    </row>
    <row r="161" spans="1:12" ht="24.75" thickBot="1">
      <c r="A161" s="1742"/>
      <c r="B161" s="1748"/>
      <c r="C161" s="383" t="s">
        <v>3058</v>
      </c>
      <c r="D161" s="384" t="s">
        <v>3059</v>
      </c>
      <c r="E161" s="383" t="s">
        <v>3058</v>
      </c>
      <c r="F161" s="384" t="s">
        <v>3059</v>
      </c>
      <c r="G161" s="383" t="s">
        <v>3058</v>
      </c>
      <c r="H161" s="384" t="s">
        <v>3059</v>
      </c>
      <c r="I161" s="383" t="s">
        <v>3058</v>
      </c>
      <c r="J161" s="384" t="s">
        <v>3059</v>
      </c>
      <c r="K161" s="383" t="s">
        <v>3058</v>
      </c>
      <c r="L161" s="385" t="s">
        <v>3059</v>
      </c>
    </row>
    <row r="162" spans="1:12">
      <c r="A162" s="386">
        <v>1</v>
      </c>
      <c r="B162" s="387" t="s">
        <v>3060</v>
      </c>
      <c r="C162" s="388">
        <v>0</v>
      </c>
      <c r="D162" s="388">
        <v>0</v>
      </c>
      <c r="E162" s="388">
        <v>0</v>
      </c>
      <c r="F162" s="388">
        <v>0</v>
      </c>
      <c r="G162" s="561">
        <v>0</v>
      </c>
      <c r="H162" s="561">
        <v>0</v>
      </c>
      <c r="I162" s="561">
        <f>C162+E162+G162</f>
        <v>0</v>
      </c>
      <c r="J162" s="561">
        <f>D162+F162+H162</f>
        <v>0</v>
      </c>
      <c r="K162" s="561">
        <f>K157+I162</f>
        <v>2</v>
      </c>
      <c r="L162" s="390">
        <f>L157+J162</f>
        <v>670</v>
      </c>
    </row>
    <row r="163" spans="1:12">
      <c r="A163" s="391">
        <v>2</v>
      </c>
      <c r="B163" s="392" t="s">
        <v>3061</v>
      </c>
      <c r="C163" s="393">
        <v>0</v>
      </c>
      <c r="D163" s="393">
        <v>0</v>
      </c>
      <c r="E163" s="393">
        <v>0</v>
      </c>
      <c r="F163" s="393">
        <v>0</v>
      </c>
      <c r="G163" s="562">
        <v>0</v>
      </c>
      <c r="H163" s="562">
        <v>0</v>
      </c>
      <c r="I163" s="561">
        <f>C163+E163+G163</f>
        <v>0</v>
      </c>
      <c r="J163" s="561">
        <f>D163+F163+H163</f>
        <v>0</v>
      </c>
      <c r="K163" s="562">
        <f>K158+I163</f>
        <v>0</v>
      </c>
      <c r="L163" s="563">
        <f>L158+J163</f>
        <v>0</v>
      </c>
    </row>
    <row r="164" spans="1:12" ht="15" thickBot="1">
      <c r="A164" s="1750" t="s">
        <v>3062</v>
      </c>
      <c r="B164" s="1751"/>
      <c r="C164" s="395">
        <f t="shared" ref="C164:L164" si="26">SUM(C162:C163)</f>
        <v>0</v>
      </c>
      <c r="D164" s="395">
        <f t="shared" si="26"/>
        <v>0</v>
      </c>
      <c r="E164" s="395">
        <f t="shared" si="26"/>
        <v>0</v>
      </c>
      <c r="F164" s="395">
        <f t="shared" si="26"/>
        <v>0</v>
      </c>
      <c r="G164" s="395">
        <f t="shared" si="26"/>
        <v>0</v>
      </c>
      <c r="H164" s="395">
        <f t="shared" si="26"/>
        <v>0</v>
      </c>
      <c r="I164" s="395">
        <f t="shared" si="26"/>
        <v>0</v>
      </c>
      <c r="J164" s="395">
        <f t="shared" si="26"/>
        <v>0</v>
      </c>
      <c r="K164" s="395">
        <f t="shared" si="26"/>
        <v>2</v>
      </c>
      <c r="L164" s="396">
        <f t="shared" si="26"/>
        <v>670</v>
      </c>
    </row>
    <row r="165" spans="1:12">
      <c r="A165" s="1741" t="s">
        <v>3544</v>
      </c>
      <c r="B165" s="1747" t="s">
        <v>3052</v>
      </c>
      <c r="C165" s="1743" t="s">
        <v>3071</v>
      </c>
      <c r="D165" s="1740"/>
      <c r="E165" s="1744" t="s">
        <v>3072</v>
      </c>
      <c r="F165" s="1745"/>
      <c r="G165" s="1739" t="s">
        <v>3073</v>
      </c>
      <c r="H165" s="1740"/>
      <c r="I165" s="1739" t="s">
        <v>3074</v>
      </c>
      <c r="J165" s="1740"/>
      <c r="K165" s="1739" t="s">
        <v>3057</v>
      </c>
      <c r="L165" s="1749"/>
    </row>
    <row r="166" spans="1:12" ht="24.75" thickBot="1">
      <c r="A166" s="1742"/>
      <c r="B166" s="1748"/>
      <c r="C166" s="383" t="s">
        <v>3058</v>
      </c>
      <c r="D166" s="384" t="s">
        <v>3059</v>
      </c>
      <c r="E166" s="383" t="s">
        <v>3058</v>
      </c>
      <c r="F166" s="384" t="s">
        <v>3059</v>
      </c>
      <c r="G166" s="383" t="s">
        <v>3058</v>
      </c>
      <c r="H166" s="384" t="s">
        <v>3059</v>
      </c>
      <c r="I166" s="383" t="s">
        <v>3058</v>
      </c>
      <c r="J166" s="384" t="s">
        <v>3059</v>
      </c>
      <c r="K166" s="383" t="s">
        <v>3058</v>
      </c>
      <c r="L166" s="385" t="s">
        <v>3059</v>
      </c>
    </row>
    <row r="167" spans="1:12">
      <c r="A167" s="386">
        <v>1</v>
      </c>
      <c r="B167" s="387" t="s">
        <v>3060</v>
      </c>
      <c r="C167" s="388">
        <v>1</v>
      </c>
      <c r="D167" s="388">
        <v>35</v>
      </c>
      <c r="E167" s="388">
        <v>0</v>
      </c>
      <c r="F167" s="388">
        <v>0</v>
      </c>
      <c r="G167" s="561">
        <v>0</v>
      </c>
      <c r="H167" s="561">
        <v>0</v>
      </c>
      <c r="I167" s="561">
        <f>C167+E167+G167</f>
        <v>1</v>
      </c>
      <c r="J167" s="561">
        <f>D167+F167+H167</f>
        <v>35</v>
      </c>
      <c r="K167" s="561">
        <f>K162+I167</f>
        <v>3</v>
      </c>
      <c r="L167" s="390">
        <f>L162+J167</f>
        <v>705</v>
      </c>
    </row>
    <row r="168" spans="1:12">
      <c r="A168" s="391">
        <v>2</v>
      </c>
      <c r="B168" s="392" t="s">
        <v>3061</v>
      </c>
      <c r="C168" s="393">
        <v>0</v>
      </c>
      <c r="D168" s="393">
        <v>0</v>
      </c>
      <c r="E168" s="393">
        <v>0</v>
      </c>
      <c r="F168" s="393">
        <v>0</v>
      </c>
      <c r="G168" s="562">
        <v>0</v>
      </c>
      <c r="H168" s="562">
        <v>0</v>
      </c>
      <c r="I168" s="561">
        <f>C168+E168+G168</f>
        <v>0</v>
      </c>
      <c r="J168" s="561">
        <f>D168+F168+H168</f>
        <v>0</v>
      </c>
      <c r="K168" s="562">
        <f>K163+I168</f>
        <v>0</v>
      </c>
      <c r="L168" s="563">
        <f>L163+J168</f>
        <v>0</v>
      </c>
    </row>
    <row r="169" spans="1:12" ht="15" thickBot="1">
      <c r="A169" s="1737" t="s">
        <v>3062</v>
      </c>
      <c r="B169" s="1738"/>
      <c r="C169" s="399">
        <f t="shared" ref="C169:L169" si="27">SUM(C167:C168)</f>
        <v>1</v>
      </c>
      <c r="D169" s="399">
        <f t="shared" si="27"/>
        <v>35</v>
      </c>
      <c r="E169" s="399">
        <f t="shared" si="27"/>
        <v>0</v>
      </c>
      <c r="F169" s="399">
        <f t="shared" si="27"/>
        <v>0</v>
      </c>
      <c r="G169" s="399">
        <f t="shared" si="27"/>
        <v>0</v>
      </c>
      <c r="H169" s="399">
        <f t="shared" si="27"/>
        <v>0</v>
      </c>
      <c r="I169" s="399">
        <f t="shared" si="27"/>
        <v>1</v>
      </c>
      <c r="J169" s="399">
        <f t="shared" si="27"/>
        <v>35</v>
      </c>
      <c r="K169" s="399">
        <f t="shared" si="27"/>
        <v>3</v>
      </c>
      <c r="L169" s="400">
        <f t="shared" si="27"/>
        <v>705</v>
      </c>
    </row>
    <row r="172" spans="1:12">
      <c r="A172" s="1651" t="s">
        <v>1427</v>
      </c>
      <c r="B172" s="1651"/>
      <c r="C172" s="1651"/>
      <c r="D172" s="1651"/>
      <c r="E172" s="1651"/>
      <c r="F172" s="1651"/>
      <c r="G172" s="1651"/>
      <c r="H172" s="1651"/>
      <c r="I172" s="1651"/>
      <c r="J172" s="1651"/>
      <c r="K172" s="1651"/>
      <c r="L172" s="1651"/>
    </row>
    <row r="173" spans="1:12" ht="15" thickBot="1"/>
    <row r="174" spans="1:12">
      <c r="A174" s="1741" t="s">
        <v>3544</v>
      </c>
      <c r="B174" s="1747" t="s">
        <v>3052</v>
      </c>
      <c r="C174" s="1743" t="s">
        <v>3053</v>
      </c>
      <c r="D174" s="1740"/>
      <c r="E174" s="1744" t="s">
        <v>3054</v>
      </c>
      <c r="F174" s="1745"/>
      <c r="G174" s="1739" t="s">
        <v>3055</v>
      </c>
      <c r="H174" s="1740"/>
      <c r="I174" s="1739" t="s">
        <v>3056</v>
      </c>
      <c r="J174" s="1740"/>
      <c r="K174" s="1739" t="s">
        <v>3057</v>
      </c>
      <c r="L174" s="1749"/>
    </row>
    <row r="175" spans="1:12" ht="24.75" thickBot="1">
      <c r="A175" s="1742"/>
      <c r="B175" s="1748"/>
      <c r="C175" s="383" t="s">
        <v>3058</v>
      </c>
      <c r="D175" s="384" t="s">
        <v>3059</v>
      </c>
      <c r="E175" s="383" t="s">
        <v>3058</v>
      </c>
      <c r="F175" s="384" t="s">
        <v>3059</v>
      </c>
      <c r="G175" s="383" t="s">
        <v>3058</v>
      </c>
      <c r="H175" s="384" t="s">
        <v>3059</v>
      </c>
      <c r="I175" s="383" t="s">
        <v>3058</v>
      </c>
      <c r="J175" s="384" t="s">
        <v>3059</v>
      </c>
      <c r="K175" s="383" t="s">
        <v>3058</v>
      </c>
      <c r="L175" s="385" t="s">
        <v>3059</v>
      </c>
    </row>
    <row r="176" spans="1:12">
      <c r="A176" s="386">
        <v>1</v>
      </c>
      <c r="B176" s="387" t="s">
        <v>3060</v>
      </c>
      <c r="C176" s="388">
        <v>0</v>
      </c>
      <c r="D176" s="388">
        <v>0</v>
      </c>
      <c r="E176" s="388">
        <v>1</v>
      </c>
      <c r="F176" s="388">
        <v>12000</v>
      </c>
      <c r="G176" s="561">
        <v>0</v>
      </c>
      <c r="H176" s="561">
        <v>0</v>
      </c>
      <c r="I176" s="561">
        <f>C176+E176+G176</f>
        <v>1</v>
      </c>
      <c r="J176" s="561">
        <f>D176+F176+H176</f>
        <v>12000</v>
      </c>
      <c r="K176" s="561">
        <f>I176</f>
        <v>1</v>
      </c>
      <c r="L176" s="390">
        <f>J176</f>
        <v>12000</v>
      </c>
    </row>
    <row r="177" spans="1:12">
      <c r="A177" s="391">
        <v>2</v>
      </c>
      <c r="B177" s="392" t="s">
        <v>3061</v>
      </c>
      <c r="C177" s="393">
        <v>0</v>
      </c>
      <c r="D177" s="393">
        <v>0</v>
      </c>
      <c r="E177" s="393">
        <v>0</v>
      </c>
      <c r="F177" s="393">
        <v>0</v>
      </c>
      <c r="G177" s="562">
        <v>0</v>
      </c>
      <c r="H177" s="562">
        <v>0</v>
      </c>
      <c r="I177" s="561">
        <f>C177+E177+G177</f>
        <v>0</v>
      </c>
      <c r="J177" s="561">
        <f>D177+F177+H177</f>
        <v>0</v>
      </c>
      <c r="K177" s="561">
        <f>I177</f>
        <v>0</v>
      </c>
      <c r="L177" s="390">
        <f>J177</f>
        <v>0</v>
      </c>
    </row>
    <row r="178" spans="1:12" ht="15" thickBot="1">
      <c r="A178" s="1750" t="s">
        <v>3062</v>
      </c>
      <c r="B178" s="1751"/>
      <c r="C178" s="395">
        <f t="shared" ref="C178:L178" si="28">SUM(C176:C177)</f>
        <v>0</v>
      </c>
      <c r="D178" s="395">
        <f t="shared" si="28"/>
        <v>0</v>
      </c>
      <c r="E178" s="395">
        <f t="shared" si="28"/>
        <v>1</v>
      </c>
      <c r="F178" s="395">
        <f t="shared" si="28"/>
        <v>12000</v>
      </c>
      <c r="G178" s="395">
        <f t="shared" si="28"/>
        <v>0</v>
      </c>
      <c r="H178" s="395">
        <f t="shared" si="28"/>
        <v>0</v>
      </c>
      <c r="I178" s="395">
        <f t="shared" si="28"/>
        <v>1</v>
      </c>
      <c r="J178" s="395">
        <f t="shared" si="28"/>
        <v>12000</v>
      </c>
      <c r="K178" s="395">
        <f t="shared" si="28"/>
        <v>1</v>
      </c>
      <c r="L178" s="396">
        <f t="shared" si="28"/>
        <v>12000</v>
      </c>
    </row>
    <row r="179" spans="1:12">
      <c r="A179" s="1741" t="s">
        <v>3544</v>
      </c>
      <c r="B179" s="1747" t="s">
        <v>3052</v>
      </c>
      <c r="C179" s="1743" t="s">
        <v>3063</v>
      </c>
      <c r="D179" s="1740"/>
      <c r="E179" s="1744" t="s">
        <v>3064</v>
      </c>
      <c r="F179" s="1745"/>
      <c r="G179" s="1739" t="s">
        <v>3065</v>
      </c>
      <c r="H179" s="1740"/>
      <c r="I179" s="1739" t="s">
        <v>3066</v>
      </c>
      <c r="J179" s="1740"/>
      <c r="K179" s="1739" t="s">
        <v>3057</v>
      </c>
      <c r="L179" s="1749"/>
    </row>
    <row r="180" spans="1:12" ht="24.75" thickBot="1">
      <c r="A180" s="1742"/>
      <c r="B180" s="1748"/>
      <c r="C180" s="383" t="s">
        <v>3058</v>
      </c>
      <c r="D180" s="384" t="s">
        <v>3059</v>
      </c>
      <c r="E180" s="383" t="s">
        <v>3058</v>
      </c>
      <c r="F180" s="384" t="s">
        <v>3059</v>
      </c>
      <c r="G180" s="383" t="s">
        <v>3058</v>
      </c>
      <c r="H180" s="384" t="s">
        <v>3059</v>
      </c>
      <c r="I180" s="383" t="s">
        <v>3058</v>
      </c>
      <c r="J180" s="384" t="s">
        <v>3059</v>
      </c>
      <c r="K180" s="383" t="s">
        <v>3058</v>
      </c>
      <c r="L180" s="385" t="s">
        <v>3059</v>
      </c>
    </row>
    <row r="181" spans="1:12">
      <c r="A181" s="386">
        <v>1</v>
      </c>
      <c r="B181" s="387" t="s">
        <v>3060</v>
      </c>
      <c r="C181" s="388">
        <v>0</v>
      </c>
      <c r="D181" s="388">
        <v>0</v>
      </c>
      <c r="E181" s="388">
        <v>0</v>
      </c>
      <c r="F181" s="388">
        <v>0</v>
      </c>
      <c r="G181" s="561">
        <v>0</v>
      </c>
      <c r="H181" s="561">
        <v>0</v>
      </c>
      <c r="I181" s="561">
        <f>C181+E181+G181</f>
        <v>0</v>
      </c>
      <c r="J181" s="561">
        <f>D181+F181+H181</f>
        <v>0</v>
      </c>
      <c r="K181" s="561">
        <f>K176+I181</f>
        <v>1</v>
      </c>
      <c r="L181" s="390">
        <f>L176+J181</f>
        <v>12000</v>
      </c>
    </row>
    <row r="182" spans="1:12">
      <c r="A182" s="391">
        <v>2</v>
      </c>
      <c r="B182" s="392" t="s">
        <v>3061</v>
      </c>
      <c r="C182" s="393">
        <v>0</v>
      </c>
      <c r="D182" s="393">
        <v>0</v>
      </c>
      <c r="E182" s="393">
        <v>0</v>
      </c>
      <c r="F182" s="393">
        <v>0</v>
      </c>
      <c r="G182" s="562">
        <v>0</v>
      </c>
      <c r="H182" s="562">
        <v>0</v>
      </c>
      <c r="I182" s="561">
        <f>C182+E182+G182</f>
        <v>0</v>
      </c>
      <c r="J182" s="561">
        <f>D182+F182+H182</f>
        <v>0</v>
      </c>
      <c r="K182" s="562">
        <f>K177+I182</f>
        <v>0</v>
      </c>
      <c r="L182" s="563">
        <f>L177+J182</f>
        <v>0</v>
      </c>
    </row>
    <row r="183" spans="1:12" ht="15" thickBot="1">
      <c r="A183" s="1750" t="s">
        <v>3062</v>
      </c>
      <c r="B183" s="1751"/>
      <c r="C183" s="395">
        <f t="shared" ref="C183:L183" si="29">SUM(C181:C182)</f>
        <v>0</v>
      </c>
      <c r="D183" s="395">
        <f t="shared" si="29"/>
        <v>0</v>
      </c>
      <c r="E183" s="395">
        <f t="shared" si="29"/>
        <v>0</v>
      </c>
      <c r="F183" s="395">
        <f t="shared" si="29"/>
        <v>0</v>
      </c>
      <c r="G183" s="395">
        <f t="shared" si="29"/>
        <v>0</v>
      </c>
      <c r="H183" s="395">
        <f t="shared" si="29"/>
        <v>0</v>
      </c>
      <c r="I183" s="395">
        <f t="shared" si="29"/>
        <v>0</v>
      </c>
      <c r="J183" s="395">
        <f t="shared" si="29"/>
        <v>0</v>
      </c>
      <c r="K183" s="395">
        <f t="shared" si="29"/>
        <v>1</v>
      </c>
      <c r="L183" s="396">
        <f t="shared" si="29"/>
        <v>12000</v>
      </c>
    </row>
    <row r="184" spans="1:12">
      <c r="A184" s="1741" t="s">
        <v>3544</v>
      </c>
      <c r="B184" s="1747" t="s">
        <v>3052</v>
      </c>
      <c r="C184" s="1743" t="s">
        <v>3067</v>
      </c>
      <c r="D184" s="1740"/>
      <c r="E184" s="1744" t="s">
        <v>3068</v>
      </c>
      <c r="F184" s="1745"/>
      <c r="G184" s="1739" t="s">
        <v>3069</v>
      </c>
      <c r="H184" s="1740"/>
      <c r="I184" s="1739" t="s">
        <v>3070</v>
      </c>
      <c r="J184" s="1740"/>
      <c r="K184" s="1739" t="s">
        <v>3057</v>
      </c>
      <c r="L184" s="1749"/>
    </row>
    <row r="185" spans="1:12" ht="24.75" thickBot="1">
      <c r="A185" s="1742"/>
      <c r="B185" s="1748"/>
      <c r="C185" s="383" t="s">
        <v>3058</v>
      </c>
      <c r="D185" s="384" t="s">
        <v>3059</v>
      </c>
      <c r="E185" s="383" t="s">
        <v>3058</v>
      </c>
      <c r="F185" s="384" t="s">
        <v>3059</v>
      </c>
      <c r="G185" s="383" t="s">
        <v>3058</v>
      </c>
      <c r="H185" s="384" t="s">
        <v>3059</v>
      </c>
      <c r="I185" s="383" t="s">
        <v>3058</v>
      </c>
      <c r="J185" s="384" t="s">
        <v>3059</v>
      </c>
      <c r="K185" s="383" t="s">
        <v>3058</v>
      </c>
      <c r="L185" s="385" t="s">
        <v>3059</v>
      </c>
    </row>
    <row r="186" spans="1:12">
      <c r="A186" s="386">
        <v>1</v>
      </c>
      <c r="B186" s="387" t="s">
        <v>3060</v>
      </c>
      <c r="C186" s="388">
        <v>0</v>
      </c>
      <c r="D186" s="388">
        <v>0</v>
      </c>
      <c r="E186" s="388">
        <v>0</v>
      </c>
      <c r="F186" s="388">
        <v>0</v>
      </c>
      <c r="G186" s="561">
        <v>0</v>
      </c>
      <c r="H186" s="561">
        <v>0</v>
      </c>
      <c r="I186" s="561">
        <f>C186+E186+G186</f>
        <v>0</v>
      </c>
      <c r="J186" s="561">
        <f>D186+F186+H186</f>
        <v>0</v>
      </c>
      <c r="K186" s="561">
        <f>K181+I186</f>
        <v>1</v>
      </c>
      <c r="L186" s="390">
        <f>L181+J186</f>
        <v>12000</v>
      </c>
    </row>
    <row r="187" spans="1:12">
      <c r="A187" s="391">
        <v>2</v>
      </c>
      <c r="B187" s="392" t="s">
        <v>3061</v>
      </c>
      <c r="C187" s="393">
        <v>0</v>
      </c>
      <c r="D187" s="393">
        <v>0</v>
      </c>
      <c r="E187" s="393">
        <v>0</v>
      </c>
      <c r="F187" s="393">
        <v>0</v>
      </c>
      <c r="G187" s="562">
        <v>0</v>
      </c>
      <c r="H187" s="562">
        <v>0</v>
      </c>
      <c r="I187" s="561">
        <f>C187+E187+G187</f>
        <v>0</v>
      </c>
      <c r="J187" s="561">
        <f>D187+F187+H187</f>
        <v>0</v>
      </c>
      <c r="K187" s="562">
        <f>K182+I187</f>
        <v>0</v>
      </c>
      <c r="L187" s="563">
        <f>L182+J187</f>
        <v>0</v>
      </c>
    </row>
    <row r="188" spans="1:12" ht="15" thickBot="1">
      <c r="A188" s="1750" t="s">
        <v>3062</v>
      </c>
      <c r="B188" s="1751"/>
      <c r="C188" s="395">
        <f t="shared" ref="C188:L188" si="30">SUM(C186:C187)</f>
        <v>0</v>
      </c>
      <c r="D188" s="395">
        <f t="shared" si="30"/>
        <v>0</v>
      </c>
      <c r="E188" s="395">
        <f t="shared" si="30"/>
        <v>0</v>
      </c>
      <c r="F188" s="395">
        <f t="shared" si="30"/>
        <v>0</v>
      </c>
      <c r="G188" s="395">
        <f t="shared" si="30"/>
        <v>0</v>
      </c>
      <c r="H188" s="395">
        <f t="shared" si="30"/>
        <v>0</v>
      </c>
      <c r="I188" s="395">
        <f t="shared" si="30"/>
        <v>0</v>
      </c>
      <c r="J188" s="395">
        <f t="shared" si="30"/>
        <v>0</v>
      </c>
      <c r="K188" s="395">
        <f t="shared" si="30"/>
        <v>1</v>
      </c>
      <c r="L188" s="396">
        <f t="shared" si="30"/>
        <v>12000</v>
      </c>
    </row>
    <row r="189" spans="1:12">
      <c r="A189" s="1741" t="s">
        <v>3544</v>
      </c>
      <c r="B189" s="1747" t="s">
        <v>3052</v>
      </c>
      <c r="C189" s="1743" t="s">
        <v>3071</v>
      </c>
      <c r="D189" s="1740"/>
      <c r="E189" s="1744" t="s">
        <v>3072</v>
      </c>
      <c r="F189" s="1745"/>
      <c r="G189" s="1739" t="s">
        <v>3073</v>
      </c>
      <c r="H189" s="1740"/>
      <c r="I189" s="1739" t="s">
        <v>3074</v>
      </c>
      <c r="J189" s="1740"/>
      <c r="K189" s="1739" t="s">
        <v>3057</v>
      </c>
      <c r="L189" s="1749"/>
    </row>
    <row r="190" spans="1:12" ht="24.75" thickBot="1">
      <c r="A190" s="1742"/>
      <c r="B190" s="1748"/>
      <c r="C190" s="383" t="s">
        <v>3058</v>
      </c>
      <c r="D190" s="384" t="s">
        <v>3059</v>
      </c>
      <c r="E190" s="383" t="s">
        <v>3058</v>
      </c>
      <c r="F190" s="384" t="s">
        <v>3059</v>
      </c>
      <c r="G190" s="383" t="s">
        <v>3058</v>
      </c>
      <c r="H190" s="384" t="s">
        <v>3059</v>
      </c>
      <c r="I190" s="383" t="s">
        <v>3058</v>
      </c>
      <c r="J190" s="384" t="s">
        <v>3059</v>
      </c>
      <c r="K190" s="383" t="s">
        <v>3058</v>
      </c>
      <c r="L190" s="385" t="s">
        <v>3059</v>
      </c>
    </row>
    <row r="191" spans="1:12">
      <c r="A191" s="386">
        <v>1</v>
      </c>
      <c r="B191" s="387" t="s">
        <v>3060</v>
      </c>
      <c r="C191" s="388">
        <v>0</v>
      </c>
      <c r="D191" s="388">
        <v>0</v>
      </c>
      <c r="E191" s="388">
        <v>0</v>
      </c>
      <c r="F191" s="388">
        <v>0</v>
      </c>
      <c r="G191" s="561">
        <v>0</v>
      </c>
      <c r="H191" s="561">
        <v>0</v>
      </c>
      <c r="I191" s="561">
        <f>C191+E191+G191</f>
        <v>0</v>
      </c>
      <c r="J191" s="561">
        <f>D191+F191+H191</f>
        <v>0</v>
      </c>
      <c r="K191" s="561">
        <f>K186+I191</f>
        <v>1</v>
      </c>
      <c r="L191" s="390">
        <f>L186+J191</f>
        <v>12000</v>
      </c>
    </row>
    <row r="192" spans="1:12">
      <c r="A192" s="391">
        <v>2</v>
      </c>
      <c r="B192" s="392" t="s">
        <v>3061</v>
      </c>
      <c r="C192" s="393">
        <v>0</v>
      </c>
      <c r="D192" s="393">
        <v>0</v>
      </c>
      <c r="E192" s="393">
        <v>0</v>
      </c>
      <c r="F192" s="393">
        <v>0</v>
      </c>
      <c r="G192" s="562">
        <v>0</v>
      </c>
      <c r="H192" s="562">
        <v>0</v>
      </c>
      <c r="I192" s="561">
        <f>C192+E192+G192</f>
        <v>0</v>
      </c>
      <c r="J192" s="561">
        <f>D192+F192+H192</f>
        <v>0</v>
      </c>
      <c r="K192" s="562">
        <f>K187+I192</f>
        <v>0</v>
      </c>
      <c r="L192" s="563">
        <f>L187+J192</f>
        <v>0</v>
      </c>
    </row>
    <row r="193" spans="1:12" ht="15" thickBot="1">
      <c r="A193" s="1737" t="s">
        <v>3062</v>
      </c>
      <c r="B193" s="1738"/>
      <c r="C193" s="399">
        <f t="shared" ref="C193:L193" si="31">SUM(C191:C192)</f>
        <v>0</v>
      </c>
      <c r="D193" s="399">
        <f t="shared" si="31"/>
        <v>0</v>
      </c>
      <c r="E193" s="399">
        <f t="shared" si="31"/>
        <v>0</v>
      </c>
      <c r="F193" s="399">
        <f t="shared" si="31"/>
        <v>0</v>
      </c>
      <c r="G193" s="399">
        <f t="shared" si="31"/>
        <v>0</v>
      </c>
      <c r="H193" s="399">
        <f t="shared" si="31"/>
        <v>0</v>
      </c>
      <c r="I193" s="399">
        <f t="shared" si="31"/>
        <v>0</v>
      </c>
      <c r="J193" s="399">
        <f t="shared" si="31"/>
        <v>0</v>
      </c>
      <c r="K193" s="399">
        <f t="shared" si="31"/>
        <v>1</v>
      </c>
      <c r="L193" s="400">
        <f t="shared" si="31"/>
        <v>12000</v>
      </c>
    </row>
  </sheetData>
  <mergeCells count="264">
    <mergeCell ref="K184:L184"/>
    <mergeCell ref="I184:J184"/>
    <mergeCell ref="K189:L189"/>
    <mergeCell ref="C189:D189"/>
    <mergeCell ref="I189:J189"/>
    <mergeCell ref="E184:F184"/>
    <mergeCell ref="G184:H184"/>
    <mergeCell ref="C184:D184"/>
    <mergeCell ref="K179:L179"/>
    <mergeCell ref="B165:B166"/>
    <mergeCell ref="G179:H179"/>
    <mergeCell ref="B179:B180"/>
    <mergeCell ref="C165:D165"/>
    <mergeCell ref="G165:H165"/>
    <mergeCell ref="E174:F174"/>
    <mergeCell ref="A169:B169"/>
    <mergeCell ref="E165:F165"/>
    <mergeCell ref="A172:L172"/>
    <mergeCell ref="I165:J165"/>
    <mergeCell ref="A165:A166"/>
    <mergeCell ref="G174:H174"/>
    <mergeCell ref="C174:D174"/>
    <mergeCell ref="A174:A175"/>
    <mergeCell ref="B174:B175"/>
    <mergeCell ref="A178:B178"/>
    <mergeCell ref="K165:L165"/>
    <mergeCell ref="K174:L174"/>
    <mergeCell ref="I174:J174"/>
    <mergeCell ref="A193:B193"/>
    <mergeCell ref="A184:A185"/>
    <mergeCell ref="B184:B185"/>
    <mergeCell ref="A189:A190"/>
    <mergeCell ref="B189:B190"/>
    <mergeCell ref="A188:B188"/>
    <mergeCell ref="I179:J179"/>
    <mergeCell ref="E179:F179"/>
    <mergeCell ref="A183:B183"/>
    <mergeCell ref="C179:D179"/>
    <mergeCell ref="E189:F189"/>
    <mergeCell ref="G189:H189"/>
    <mergeCell ref="A179:A180"/>
    <mergeCell ref="A164:B164"/>
    <mergeCell ref="B136:B137"/>
    <mergeCell ref="B150:B151"/>
    <mergeCell ref="A145:B145"/>
    <mergeCell ref="A148:L148"/>
    <mergeCell ref="A150:A151"/>
    <mergeCell ref="K150:L150"/>
    <mergeCell ref="K160:L160"/>
    <mergeCell ref="A155:A156"/>
    <mergeCell ref="C141:D141"/>
    <mergeCell ref="A159:B159"/>
    <mergeCell ref="C155:D155"/>
    <mergeCell ref="A160:A161"/>
    <mergeCell ref="G160:H160"/>
    <mergeCell ref="B160:B161"/>
    <mergeCell ref="E155:F155"/>
    <mergeCell ref="K155:L155"/>
    <mergeCell ref="A141:A142"/>
    <mergeCell ref="I150:J150"/>
    <mergeCell ref="G150:H150"/>
    <mergeCell ref="B141:B142"/>
    <mergeCell ref="E150:F150"/>
    <mergeCell ref="C150:D150"/>
    <mergeCell ref="I155:J155"/>
    <mergeCell ref="G155:H155"/>
    <mergeCell ref="B155:B156"/>
    <mergeCell ref="I160:J160"/>
    <mergeCell ref="E160:F160"/>
    <mergeCell ref="C160:D160"/>
    <mergeCell ref="A154:B154"/>
    <mergeCell ref="C136:D136"/>
    <mergeCell ref="I136:J136"/>
    <mergeCell ref="G141:H141"/>
    <mergeCell ref="A135:B135"/>
    <mergeCell ref="A140:B140"/>
    <mergeCell ref="A136:A137"/>
    <mergeCell ref="E141:F141"/>
    <mergeCell ref="I141:J141"/>
    <mergeCell ref="G136:H136"/>
    <mergeCell ref="K131:L131"/>
    <mergeCell ref="G131:H131"/>
    <mergeCell ref="I131:J131"/>
    <mergeCell ref="K141:L141"/>
    <mergeCell ref="K136:L136"/>
    <mergeCell ref="A131:A132"/>
    <mergeCell ref="B131:B132"/>
    <mergeCell ref="E131:F131"/>
    <mergeCell ref="C131:D131"/>
    <mergeCell ref="E136:F136"/>
    <mergeCell ref="B112:B113"/>
    <mergeCell ref="C112:D112"/>
    <mergeCell ref="A111:B111"/>
    <mergeCell ref="K117:L117"/>
    <mergeCell ref="G117:H117"/>
    <mergeCell ref="I126:J126"/>
    <mergeCell ref="I117:J117"/>
    <mergeCell ref="I107:J107"/>
    <mergeCell ref="K112:L112"/>
    <mergeCell ref="I112:J112"/>
    <mergeCell ref="G112:H112"/>
    <mergeCell ref="C107:D107"/>
    <mergeCell ref="A121:B121"/>
    <mergeCell ref="G102:H102"/>
    <mergeCell ref="I102:J102"/>
    <mergeCell ref="B102:B103"/>
    <mergeCell ref="E117:F117"/>
    <mergeCell ref="C117:D117"/>
    <mergeCell ref="B117:B118"/>
    <mergeCell ref="A116:B116"/>
    <mergeCell ref="A130:B130"/>
    <mergeCell ref="C126:D126"/>
    <mergeCell ref="A124:L124"/>
    <mergeCell ref="K126:L126"/>
    <mergeCell ref="B126:B127"/>
    <mergeCell ref="E126:F126"/>
    <mergeCell ref="A126:A127"/>
    <mergeCell ref="G126:H126"/>
    <mergeCell ref="K107:L107"/>
    <mergeCell ref="E107:F107"/>
    <mergeCell ref="G107:H107"/>
    <mergeCell ref="E112:F112"/>
    <mergeCell ref="A117:A118"/>
    <mergeCell ref="A107:A108"/>
    <mergeCell ref="B107:B108"/>
    <mergeCell ref="A112:A113"/>
    <mergeCell ref="A106:B106"/>
    <mergeCell ref="G93:H93"/>
    <mergeCell ref="A97:B97"/>
    <mergeCell ref="B93:B94"/>
    <mergeCell ref="A93:A94"/>
    <mergeCell ref="C93:D93"/>
    <mergeCell ref="E93:F93"/>
    <mergeCell ref="A102:A103"/>
    <mergeCell ref="E102:F102"/>
    <mergeCell ref="C102:D102"/>
    <mergeCell ref="K102:L102"/>
    <mergeCell ref="E88:F88"/>
    <mergeCell ref="E78:F78"/>
    <mergeCell ref="K93:L93"/>
    <mergeCell ref="I93:J93"/>
    <mergeCell ref="A100:L100"/>
    <mergeCell ref="C88:D88"/>
    <mergeCell ref="I88:J88"/>
    <mergeCell ref="G88:H88"/>
    <mergeCell ref="K88:L88"/>
    <mergeCell ref="I83:J83"/>
    <mergeCell ref="I78:J78"/>
    <mergeCell ref="K78:L78"/>
    <mergeCell ref="A88:A89"/>
    <mergeCell ref="B88:B89"/>
    <mergeCell ref="A92:B92"/>
    <mergeCell ref="A82:B82"/>
    <mergeCell ref="A78:A79"/>
    <mergeCell ref="A83:A84"/>
    <mergeCell ref="A87:B87"/>
    <mergeCell ref="B83:B84"/>
    <mergeCell ref="C78:D78"/>
    <mergeCell ref="G83:H83"/>
    <mergeCell ref="G78:H78"/>
    <mergeCell ref="C83:D83"/>
    <mergeCell ref="B78:B79"/>
    <mergeCell ref="A63:B63"/>
    <mergeCell ref="E59:F59"/>
    <mergeCell ref="C64:D64"/>
    <mergeCell ref="B59:B60"/>
    <mergeCell ref="A64:A65"/>
    <mergeCell ref="A59:A60"/>
    <mergeCell ref="C59:D59"/>
    <mergeCell ref="A68:B68"/>
    <mergeCell ref="A73:B73"/>
    <mergeCell ref="K69:L69"/>
    <mergeCell ref="G69:H69"/>
    <mergeCell ref="I69:J69"/>
    <mergeCell ref="A69:A70"/>
    <mergeCell ref="E69:F69"/>
    <mergeCell ref="C69:D69"/>
    <mergeCell ref="B69:B70"/>
    <mergeCell ref="E83:F83"/>
    <mergeCell ref="I64:J64"/>
    <mergeCell ref="G64:H64"/>
    <mergeCell ref="E64:F64"/>
    <mergeCell ref="K64:L64"/>
    <mergeCell ref="B64:B65"/>
    <mergeCell ref="A76:L76"/>
    <mergeCell ref="K83:L83"/>
    <mergeCell ref="G59:H59"/>
    <mergeCell ref="A54:A55"/>
    <mergeCell ref="I54:J54"/>
    <mergeCell ref="G54:H54"/>
    <mergeCell ref="E54:F54"/>
    <mergeCell ref="K59:L59"/>
    <mergeCell ref="I59:J59"/>
    <mergeCell ref="A58:B58"/>
    <mergeCell ref="A44:B44"/>
    <mergeCell ref="A49:B49"/>
    <mergeCell ref="A52:L52"/>
    <mergeCell ref="B54:B55"/>
    <mergeCell ref="K54:L54"/>
    <mergeCell ref="C54:D54"/>
    <mergeCell ref="A28:L28"/>
    <mergeCell ref="B45:B46"/>
    <mergeCell ref="G45:H45"/>
    <mergeCell ref="G40:H40"/>
    <mergeCell ref="E45:F45"/>
    <mergeCell ref="A45:A46"/>
    <mergeCell ref="C45:D45"/>
    <mergeCell ref="K35:L35"/>
    <mergeCell ref="A34:B34"/>
    <mergeCell ref="A35:A36"/>
    <mergeCell ref="K30:L30"/>
    <mergeCell ref="K40:L40"/>
    <mergeCell ref="I40:J40"/>
    <mergeCell ref="G35:H35"/>
    <mergeCell ref="I35:J35"/>
    <mergeCell ref="A30:A31"/>
    <mergeCell ref="E35:F35"/>
    <mergeCell ref="B35:B36"/>
    <mergeCell ref="K45:L45"/>
    <mergeCell ref="I45:J45"/>
    <mergeCell ref="B30:B31"/>
    <mergeCell ref="C30:D30"/>
    <mergeCell ref="I30:J30"/>
    <mergeCell ref="G30:H30"/>
    <mergeCell ref="E30:F30"/>
    <mergeCell ref="C40:D40"/>
    <mergeCell ref="E40:F40"/>
    <mergeCell ref="C35:D35"/>
    <mergeCell ref="B40:B41"/>
    <mergeCell ref="A39:B39"/>
    <mergeCell ref="A40:A41"/>
    <mergeCell ref="K16:L16"/>
    <mergeCell ref="C11:D11"/>
    <mergeCell ref="I16:J16"/>
    <mergeCell ref="C16:D16"/>
    <mergeCell ref="G16:H16"/>
    <mergeCell ref="G11:H11"/>
    <mergeCell ref="E16:F16"/>
    <mergeCell ref="E11:F11"/>
    <mergeCell ref="B21:B22"/>
    <mergeCell ref="A25:B25"/>
    <mergeCell ref="G21:H21"/>
    <mergeCell ref="A21:A22"/>
    <mergeCell ref="C21:D21"/>
    <mergeCell ref="A11:A12"/>
    <mergeCell ref="E21:F21"/>
    <mergeCell ref="A4:L4"/>
    <mergeCell ref="A6:A7"/>
    <mergeCell ref="B6:B7"/>
    <mergeCell ref="C6:D6"/>
    <mergeCell ref="E6:F6"/>
    <mergeCell ref="G6:H6"/>
    <mergeCell ref="K6:L6"/>
    <mergeCell ref="I6:J6"/>
    <mergeCell ref="A16:A17"/>
    <mergeCell ref="B16:B17"/>
    <mergeCell ref="A10:B10"/>
    <mergeCell ref="A20:B20"/>
    <mergeCell ref="A15:B15"/>
    <mergeCell ref="K21:L21"/>
    <mergeCell ref="I21:J21"/>
    <mergeCell ref="B11:B12"/>
    <mergeCell ref="I11:J11"/>
    <mergeCell ref="K11:L11"/>
  </mergeCells>
  <phoneticPr fontId="0" type="noConversion"/>
  <hyperlinks>
    <hyperlink ref="B1" location="Главная!A1" display="Переход на главную страницу"/>
  </hyperlinks>
  <pageMargins left="0.39370078740157483" right="0.39370078740157483" top="0.74803149606299213" bottom="0.74803149606299213" header="0.31496062992125984" footer="0.31496062992125984"/>
  <pageSetup paperSize="9" scale="95" orientation="landscape" r:id="rId1"/>
  <rowBreaks count="7" manualBreakCount="7">
    <brk id="26" max="16383" man="1"/>
    <brk id="50" max="16383" man="1"/>
    <brk id="75" max="16383" man="1"/>
    <brk id="99" max="16383" man="1"/>
    <brk id="123" max="16383" man="1"/>
    <brk id="147" max="16383" man="1"/>
    <brk id="171" max="16383" man="1"/>
  </rowBreaks>
</worksheet>
</file>

<file path=xl/worksheets/sheet21.xml><?xml version="1.0" encoding="utf-8"?>
<worksheet xmlns="http://schemas.openxmlformats.org/spreadsheetml/2006/main" xmlns:r="http://schemas.openxmlformats.org/officeDocument/2006/relationships">
  <dimension ref="A1:V159"/>
  <sheetViews>
    <sheetView view="pageBreakPreview" topLeftCell="A124" zoomScale="60" zoomScaleNormal="100" workbookViewId="0">
      <selection activeCell="P122" sqref="P122"/>
    </sheetView>
  </sheetViews>
  <sheetFormatPr defaultRowHeight="15"/>
  <cols>
    <col min="1" max="1" width="5.5703125" customWidth="1"/>
    <col min="2" max="2" width="13.5703125" customWidth="1"/>
    <col min="3" max="4" width="14.5703125" customWidth="1"/>
    <col min="5" max="5" width="17.7109375" customWidth="1"/>
    <col min="6" max="7" width="15.5703125" customWidth="1"/>
    <col min="8" max="8" width="12.7109375" customWidth="1"/>
    <col min="9" max="9" width="7.42578125" customWidth="1"/>
    <col min="10" max="12" width="14.140625" customWidth="1"/>
    <col min="13" max="13" width="17.140625" customWidth="1"/>
    <col min="14" max="14" width="22" customWidth="1"/>
    <col min="15" max="15" width="13.140625" customWidth="1"/>
    <col min="16" max="16" width="17.7109375" customWidth="1"/>
    <col min="17" max="21" width="14.140625" customWidth="1"/>
    <col min="22" max="22" width="13" customWidth="1"/>
  </cols>
  <sheetData>
    <row r="1" spans="1:22" ht="18.75">
      <c r="B1" s="79" t="s">
        <v>724</v>
      </c>
      <c r="F1" s="581" t="s">
        <v>1440</v>
      </c>
      <c r="G1" s="581"/>
    </row>
    <row r="2" spans="1:22" ht="21">
      <c r="B2" s="234"/>
    </row>
    <row r="3" spans="1:22" ht="15.75">
      <c r="A3" s="1786" t="s">
        <v>1441</v>
      </c>
      <c r="B3" s="1786"/>
      <c r="C3" s="1786"/>
      <c r="D3" s="1786"/>
      <c r="E3" s="1786"/>
      <c r="F3" s="1786"/>
      <c r="G3" s="582"/>
      <c r="I3" s="1786" t="s">
        <v>1441</v>
      </c>
      <c r="J3" s="1786"/>
      <c r="K3" s="1786"/>
      <c r="L3" s="1786"/>
      <c r="M3" s="1786"/>
      <c r="N3" s="1786"/>
      <c r="O3" s="582"/>
      <c r="Q3" s="1786" t="s">
        <v>1441</v>
      </c>
      <c r="R3" s="1786"/>
      <c r="S3" s="1786"/>
      <c r="T3" s="1786"/>
      <c r="U3" s="1786"/>
      <c r="V3" s="1786"/>
    </row>
    <row r="4" spans="1:22" ht="15.75">
      <c r="A4" s="1786" t="s">
        <v>1442</v>
      </c>
      <c r="B4" s="1786"/>
      <c r="C4" s="1786"/>
      <c r="D4" s="1786"/>
      <c r="E4" s="1786"/>
      <c r="F4" s="1786"/>
      <c r="G4" s="582"/>
      <c r="I4" s="1786" t="s">
        <v>1443</v>
      </c>
      <c r="J4" s="1786"/>
      <c r="K4" s="1786"/>
      <c r="L4" s="1786"/>
      <c r="M4" s="1786"/>
      <c r="N4" s="1786"/>
      <c r="O4" s="582"/>
      <c r="Q4" s="1786" t="s">
        <v>1444</v>
      </c>
      <c r="R4" s="1786"/>
      <c r="S4" s="1786"/>
      <c r="T4" s="1786"/>
      <c r="U4" s="1786"/>
      <c r="V4" s="1786"/>
    </row>
    <row r="5" spans="1:22" ht="15.75">
      <c r="A5" s="1786" t="s">
        <v>1445</v>
      </c>
      <c r="B5" s="1786"/>
      <c r="C5" s="1786"/>
      <c r="D5" s="1786"/>
      <c r="E5" s="1786"/>
      <c r="F5" s="1786"/>
      <c r="G5" s="582"/>
      <c r="I5" s="1786" t="s">
        <v>1445</v>
      </c>
      <c r="J5" s="1786"/>
      <c r="K5" s="1786"/>
      <c r="L5" s="1786"/>
      <c r="M5" s="1786"/>
      <c r="N5" s="1786"/>
      <c r="O5" s="582"/>
      <c r="Q5" s="1786" t="s">
        <v>1445</v>
      </c>
      <c r="R5" s="1786"/>
      <c r="S5" s="1786"/>
      <c r="T5" s="1786"/>
      <c r="U5" s="1786"/>
      <c r="V5" s="1786"/>
    </row>
    <row r="6" spans="1:22" ht="16.5" thickBot="1">
      <c r="A6" s="583"/>
      <c r="B6" s="583"/>
      <c r="C6" s="583"/>
      <c r="D6" s="583"/>
      <c r="E6" s="583"/>
      <c r="F6" s="584" t="s">
        <v>4405</v>
      </c>
      <c r="G6" s="584"/>
      <c r="I6" s="583"/>
      <c r="J6" s="583"/>
      <c r="K6" s="583"/>
      <c r="L6" s="583"/>
      <c r="M6" s="583"/>
      <c r="N6" s="584" t="s">
        <v>4405</v>
      </c>
      <c r="O6" s="584"/>
      <c r="Q6" s="583"/>
      <c r="R6" s="583"/>
      <c r="S6" s="583"/>
      <c r="T6" s="583"/>
      <c r="U6" s="583"/>
      <c r="V6" s="584" t="s">
        <v>4405</v>
      </c>
    </row>
    <row r="7" spans="1:22" ht="61.5" customHeight="1" thickBot="1">
      <c r="A7" s="585" t="s">
        <v>1446</v>
      </c>
      <c r="B7" s="585" t="s">
        <v>1447</v>
      </c>
      <c r="C7" s="585" t="s">
        <v>1448</v>
      </c>
      <c r="D7" s="585" t="s">
        <v>1449</v>
      </c>
      <c r="E7" s="585" t="s">
        <v>1450</v>
      </c>
      <c r="F7" s="585" t="s">
        <v>1451</v>
      </c>
      <c r="G7" s="586"/>
      <c r="I7" s="585" t="s">
        <v>1446</v>
      </c>
      <c r="J7" s="585" t="s">
        <v>1447</v>
      </c>
      <c r="K7" s="585" t="s">
        <v>1448</v>
      </c>
      <c r="L7" s="585" t="s">
        <v>1449</v>
      </c>
      <c r="M7" s="585" t="s">
        <v>1450</v>
      </c>
      <c r="N7" s="585" t="s">
        <v>1451</v>
      </c>
      <c r="O7" s="586"/>
      <c r="Q7" s="585" t="s">
        <v>1446</v>
      </c>
      <c r="R7" s="585" t="s">
        <v>1447</v>
      </c>
      <c r="S7" s="585" t="s">
        <v>1448</v>
      </c>
      <c r="T7" s="585" t="s">
        <v>1449</v>
      </c>
      <c r="U7" s="585" t="s">
        <v>1450</v>
      </c>
      <c r="V7" s="585" t="s">
        <v>1451</v>
      </c>
    </row>
    <row r="8" spans="1:22" ht="15.75">
      <c r="A8" s="587"/>
      <c r="B8" s="588"/>
      <c r="C8" s="589"/>
      <c r="D8" s="589"/>
      <c r="E8" s="589"/>
      <c r="F8" s="590"/>
      <c r="G8" s="591"/>
      <c r="I8" s="587"/>
      <c r="J8" s="588"/>
      <c r="K8" s="589"/>
      <c r="L8" s="589"/>
      <c r="M8" s="589"/>
      <c r="N8" s="590"/>
      <c r="O8" s="591"/>
      <c r="Q8" s="587"/>
      <c r="R8" s="588"/>
      <c r="S8" s="589"/>
      <c r="T8" s="589"/>
      <c r="U8" s="589"/>
      <c r="V8" s="590"/>
    </row>
    <row r="9" spans="1:22" ht="15.75">
      <c r="A9" s="587">
        <v>3</v>
      </c>
      <c r="B9" s="588">
        <v>21.081499999962944</v>
      </c>
      <c r="C9" s="589">
        <v>6.5276400000020667</v>
      </c>
      <c r="D9" s="589">
        <v>4.2871560000021329</v>
      </c>
      <c r="E9" s="589">
        <v>0.1606880000003921</v>
      </c>
      <c r="F9" s="590">
        <v>10.106015999958352</v>
      </c>
      <c r="G9" s="591"/>
      <c r="I9" s="587">
        <v>4</v>
      </c>
      <c r="J9" s="588">
        <v>20.933000000048992</v>
      </c>
      <c r="K9" s="589">
        <v>4.8866399999940766</v>
      </c>
      <c r="L9" s="589">
        <v>4.0009799999997133</v>
      </c>
      <c r="M9" s="589">
        <v>0.10024800000023452</v>
      </c>
      <c r="N9" s="590">
        <v>11.945132000054965</v>
      </c>
      <c r="O9" s="591"/>
      <c r="Q9" s="587">
        <v>4</v>
      </c>
      <c r="R9" s="588">
        <v>23.106599999959293</v>
      </c>
      <c r="S9" s="589">
        <v>5.8818000000113893</v>
      </c>
      <c r="T9" s="589">
        <v>4.2401159999940976</v>
      </c>
      <c r="U9" s="589">
        <v>0.15886399999992454</v>
      </c>
      <c r="V9" s="590">
        <v>12.825819999953882</v>
      </c>
    </row>
    <row r="10" spans="1:22" ht="15.75">
      <c r="A10" s="587"/>
      <c r="B10" s="588"/>
      <c r="C10" s="589"/>
      <c r="D10" s="589"/>
      <c r="E10" s="589"/>
      <c r="F10" s="590"/>
      <c r="G10" s="591"/>
      <c r="I10" s="587"/>
      <c r="J10" s="588"/>
      <c r="K10" s="589"/>
      <c r="L10" s="589"/>
      <c r="M10" s="589"/>
      <c r="N10" s="590"/>
      <c r="O10" s="591"/>
      <c r="Q10" s="587"/>
      <c r="R10" s="588"/>
      <c r="S10" s="589"/>
      <c r="T10" s="589"/>
      <c r="U10" s="589"/>
      <c r="V10" s="590"/>
    </row>
    <row r="11" spans="1:22" ht="15.75">
      <c r="A11" s="587">
        <v>9</v>
      </c>
      <c r="B11" s="588">
        <v>54.929599999852599</v>
      </c>
      <c r="C11" s="589">
        <v>10.190399999995316</v>
      </c>
      <c r="D11" s="589">
        <v>7.0352159999994335</v>
      </c>
      <c r="E11" s="589">
        <v>0.28847199999915973</v>
      </c>
      <c r="F11" s="590">
        <v>37.415511999858694</v>
      </c>
      <c r="G11" s="591"/>
      <c r="I11" s="587">
        <v>10</v>
      </c>
      <c r="J11" s="588">
        <v>54.298199999979204</v>
      </c>
      <c r="K11" s="589">
        <v>8.6551199999921664</v>
      </c>
      <c r="L11" s="589">
        <v>7.1409239999976117</v>
      </c>
      <c r="M11" s="589">
        <v>0.18799200000008567</v>
      </c>
      <c r="N11" s="590">
        <v>38.31416399998934</v>
      </c>
      <c r="O11" s="591"/>
      <c r="Q11" s="587">
        <v>10</v>
      </c>
      <c r="R11" s="588">
        <v>59.138200000064217</v>
      </c>
      <c r="S11" s="589">
        <v>11.593920000014624</v>
      </c>
      <c r="T11" s="589">
        <v>7.9871519999987983</v>
      </c>
      <c r="U11" s="589">
        <v>0.31543200000045546</v>
      </c>
      <c r="V11" s="590">
        <v>39.241696000050339</v>
      </c>
    </row>
    <row r="12" spans="1:22" ht="15.75">
      <c r="A12" s="587"/>
      <c r="B12" s="588"/>
      <c r="C12" s="589"/>
      <c r="D12" s="589"/>
      <c r="E12" s="589"/>
      <c r="F12" s="590"/>
      <c r="G12" s="591"/>
      <c r="I12" s="587"/>
      <c r="J12" s="588"/>
      <c r="K12" s="589"/>
      <c r="L12" s="589"/>
      <c r="M12" s="589"/>
      <c r="N12" s="590"/>
      <c r="O12" s="591"/>
      <c r="Q12" s="587"/>
      <c r="R12" s="588"/>
      <c r="S12" s="589"/>
      <c r="T12" s="589"/>
      <c r="U12" s="589"/>
      <c r="V12" s="590"/>
    </row>
    <row r="13" spans="1:22" ht="15.75">
      <c r="A13" s="587">
        <v>18</v>
      </c>
      <c r="B13" s="588">
        <v>38.355900000083693</v>
      </c>
      <c r="C13" s="589">
        <v>11.837640000004466</v>
      </c>
      <c r="D13" s="589">
        <v>9.083315999998554</v>
      </c>
      <c r="E13" s="589">
        <v>0.22341600000009784</v>
      </c>
      <c r="F13" s="590">
        <v>17.211528000080577</v>
      </c>
      <c r="G13" s="591"/>
      <c r="I13" s="587">
        <v>22</v>
      </c>
      <c r="J13" s="588">
        <v>26.136000000030378</v>
      </c>
      <c r="K13" s="589">
        <v>7.8913199999888093</v>
      </c>
      <c r="L13" s="589">
        <v>6.5460719999987003</v>
      </c>
      <c r="M13" s="589">
        <v>9.6655999999396155E-2</v>
      </c>
      <c r="N13" s="590">
        <v>11.601952000043473</v>
      </c>
      <c r="O13" s="591"/>
      <c r="Q13" s="587">
        <v>18</v>
      </c>
      <c r="R13" s="588">
        <v>37.979700000130606</v>
      </c>
      <c r="S13" s="589">
        <v>11.064360000014677</v>
      </c>
      <c r="T13" s="589">
        <v>8.3144159999965375</v>
      </c>
      <c r="U13" s="589">
        <v>0.20449040000020705</v>
      </c>
      <c r="V13" s="590">
        <v>18.396433600119185</v>
      </c>
    </row>
    <row r="14" spans="1:22" ht="16.5" thickBot="1">
      <c r="A14" s="592"/>
      <c r="B14" s="593"/>
      <c r="C14" s="593"/>
      <c r="D14" s="593"/>
      <c r="E14" s="593"/>
      <c r="F14" s="594"/>
      <c r="G14" s="595"/>
      <c r="I14" s="592"/>
      <c r="J14" s="593"/>
      <c r="K14" s="593"/>
      <c r="L14" s="593"/>
      <c r="M14" s="593"/>
      <c r="N14" s="594"/>
      <c r="O14" s="595"/>
      <c r="Q14" s="592"/>
      <c r="R14" s="593"/>
      <c r="S14" s="593"/>
      <c r="T14" s="593"/>
      <c r="U14" s="593"/>
      <c r="V14" s="594"/>
    </row>
    <row r="16" spans="1:22" ht="15.75">
      <c r="A16" s="1786" t="s">
        <v>1452</v>
      </c>
      <c r="B16" s="1786"/>
      <c r="C16" s="1786"/>
      <c r="D16" s="1786"/>
      <c r="E16" s="1786"/>
      <c r="F16" s="1786"/>
      <c r="G16" s="582"/>
      <c r="I16" s="1786" t="s">
        <v>1452</v>
      </c>
      <c r="J16" s="1786"/>
      <c r="K16" s="1786"/>
      <c r="L16" s="1786"/>
      <c r="M16" s="1786"/>
      <c r="N16" s="1786"/>
      <c r="O16" s="582"/>
      <c r="Q16" s="1786" t="s">
        <v>1452</v>
      </c>
      <c r="R16" s="1786"/>
      <c r="S16" s="1786"/>
      <c r="T16" s="1786"/>
      <c r="U16" s="1786"/>
      <c r="V16" s="1786"/>
    </row>
    <row r="17" spans="1:22" ht="15.75">
      <c r="A17" s="1786" t="s">
        <v>1442</v>
      </c>
      <c r="B17" s="1786"/>
      <c r="C17" s="1786"/>
      <c r="D17" s="1786"/>
      <c r="E17" s="1786"/>
      <c r="F17" s="1786"/>
      <c r="G17" s="582"/>
      <c r="I17" s="1786" t="s">
        <v>1443</v>
      </c>
      <c r="J17" s="1786"/>
      <c r="K17" s="1786"/>
      <c r="L17" s="1786"/>
      <c r="M17" s="1786"/>
      <c r="N17" s="1786"/>
      <c r="O17" s="582"/>
      <c r="Q17" s="1786" t="s">
        <v>1444</v>
      </c>
      <c r="R17" s="1786"/>
      <c r="S17" s="1786"/>
      <c r="T17" s="1786"/>
      <c r="U17" s="1786"/>
      <c r="V17" s="1786"/>
    </row>
    <row r="18" spans="1:22" ht="15.75">
      <c r="A18" s="1786" t="s">
        <v>1445</v>
      </c>
      <c r="B18" s="1786"/>
      <c r="C18" s="1786"/>
      <c r="D18" s="1786"/>
      <c r="E18" s="1786"/>
      <c r="F18" s="1786"/>
      <c r="G18" s="582"/>
      <c r="I18" s="1786" t="s">
        <v>1445</v>
      </c>
      <c r="J18" s="1786"/>
      <c r="K18" s="1786"/>
      <c r="L18" s="1786"/>
      <c r="M18" s="1786"/>
      <c r="N18" s="1786"/>
      <c r="O18" s="582"/>
      <c r="Q18" s="1786" t="s">
        <v>1445</v>
      </c>
      <c r="R18" s="1786"/>
      <c r="S18" s="1786"/>
      <c r="T18" s="1786"/>
      <c r="U18" s="1786"/>
      <c r="V18" s="1786"/>
    </row>
    <row r="19" spans="1:22" ht="16.5" thickBot="1">
      <c r="A19" s="583"/>
      <c r="B19" s="583"/>
      <c r="C19" s="583"/>
      <c r="D19" s="583"/>
      <c r="E19" s="583"/>
      <c r="F19" s="584" t="s">
        <v>1453</v>
      </c>
      <c r="G19" s="584"/>
      <c r="I19" s="583"/>
      <c r="J19" s="583"/>
      <c r="K19" s="583"/>
      <c r="L19" s="583"/>
      <c r="M19" s="583"/>
      <c r="N19" s="584" t="s">
        <v>1454</v>
      </c>
      <c r="O19" s="584"/>
      <c r="Q19" s="583"/>
      <c r="R19" s="583"/>
      <c r="S19" s="583"/>
      <c r="T19" s="583"/>
      <c r="U19" s="583"/>
      <c r="V19" s="584" t="s">
        <v>1454</v>
      </c>
    </row>
    <row r="20" spans="1:22" ht="79.5" customHeight="1" thickBot="1">
      <c r="A20" s="596" t="s">
        <v>1446</v>
      </c>
      <c r="B20" s="596" t="s">
        <v>1447</v>
      </c>
      <c r="C20" s="596" t="s">
        <v>3976</v>
      </c>
      <c r="D20" s="596" t="s">
        <v>1449</v>
      </c>
      <c r="E20" s="596" t="s">
        <v>1450</v>
      </c>
      <c r="F20" s="596" t="s">
        <v>1451</v>
      </c>
      <c r="G20" s="598"/>
      <c r="H20" s="597"/>
      <c r="I20" s="596" t="s">
        <v>1446</v>
      </c>
      <c r="J20" s="596" t="s">
        <v>1447</v>
      </c>
      <c r="K20" s="596" t="s">
        <v>3976</v>
      </c>
      <c r="L20" s="596" t="s">
        <v>1449</v>
      </c>
      <c r="M20" s="596" t="s">
        <v>1450</v>
      </c>
      <c r="N20" s="596" t="s">
        <v>1451</v>
      </c>
      <c r="O20" s="598"/>
      <c r="Q20" s="596" t="s">
        <v>1446</v>
      </c>
      <c r="R20" s="596" t="s">
        <v>1447</v>
      </c>
      <c r="S20" s="596" t="s">
        <v>3976</v>
      </c>
      <c r="T20" s="596" t="s">
        <v>1449</v>
      </c>
      <c r="U20" s="596" t="s">
        <v>1450</v>
      </c>
      <c r="V20" s="596" t="s">
        <v>1451</v>
      </c>
    </row>
    <row r="21" spans="1:22" ht="15.75">
      <c r="A21" s="587"/>
      <c r="B21" s="588"/>
      <c r="C21" s="589"/>
      <c r="D21" s="589"/>
      <c r="E21" s="589"/>
      <c r="F21" s="590"/>
      <c r="G21" s="591"/>
      <c r="I21" s="587"/>
      <c r="J21" s="588"/>
      <c r="K21" s="589"/>
      <c r="L21" s="589"/>
      <c r="M21" s="589"/>
      <c r="N21" s="590"/>
      <c r="O21" s="591"/>
      <c r="Q21" s="587"/>
      <c r="R21" s="588"/>
      <c r="S21" s="589"/>
      <c r="T21" s="589"/>
      <c r="U21" s="589"/>
      <c r="V21" s="590"/>
    </row>
    <row r="22" spans="1:22" ht="15.75">
      <c r="A22" s="587">
        <v>3</v>
      </c>
      <c r="B22" s="588">
        <v>15.166799999909472</v>
      </c>
      <c r="C22" s="589">
        <v>3.5074800000046706</v>
      </c>
      <c r="D22" s="589">
        <v>2.0155560000010388</v>
      </c>
      <c r="E22" s="589">
        <v>7.4031999999533582E-2</v>
      </c>
      <c r="F22" s="590">
        <v>9.5697319999042278</v>
      </c>
      <c r="G22" s="591"/>
      <c r="I22" s="587">
        <v>4</v>
      </c>
      <c r="J22" s="588">
        <v>17.695700000091591</v>
      </c>
      <c r="K22" s="589">
        <v>3.6187199999940738</v>
      </c>
      <c r="L22" s="589">
        <v>2.5504200000000772</v>
      </c>
      <c r="M22" s="589">
        <v>8.2128000000264767E-2</v>
      </c>
      <c r="N22" s="590">
        <v>11.444432000097175</v>
      </c>
      <c r="O22" s="591"/>
      <c r="Q22" s="587">
        <v>4</v>
      </c>
      <c r="R22" s="588">
        <v>16.550600000073587</v>
      </c>
      <c r="S22" s="589">
        <v>3.1570800000035435</v>
      </c>
      <c r="T22" s="589">
        <v>2.1424800000013553</v>
      </c>
      <c r="U22" s="589">
        <v>6.9272000000210027E-2</v>
      </c>
      <c r="V22" s="590">
        <v>11.181768000068478</v>
      </c>
    </row>
    <row r="23" spans="1:22" ht="15.75">
      <c r="A23" s="587"/>
      <c r="B23" s="588"/>
      <c r="C23" s="589"/>
      <c r="D23" s="589"/>
      <c r="E23" s="589"/>
      <c r="F23" s="590"/>
      <c r="G23" s="591"/>
      <c r="I23" s="587"/>
      <c r="J23" s="588"/>
      <c r="K23" s="589"/>
      <c r="L23" s="589"/>
      <c r="M23" s="589"/>
      <c r="N23" s="590"/>
      <c r="O23" s="591"/>
      <c r="Q23" s="587"/>
      <c r="R23" s="588"/>
      <c r="S23" s="589"/>
      <c r="T23" s="589"/>
      <c r="U23" s="589"/>
      <c r="V23" s="590"/>
    </row>
    <row r="24" spans="1:22" ht="15.75">
      <c r="A24" s="587">
        <v>9</v>
      </c>
      <c r="B24" s="588">
        <v>27.985099999930753</v>
      </c>
      <c r="C24" s="589">
        <v>4.4684400000057387</v>
      </c>
      <c r="D24" s="589">
        <v>2.7279959999982384</v>
      </c>
      <c r="E24" s="589">
        <v>0.2010639999998966</v>
      </c>
      <c r="F24" s="590">
        <v>20.58759999992688</v>
      </c>
      <c r="G24" s="591"/>
      <c r="I24" s="587">
        <v>10</v>
      </c>
      <c r="J24" s="588">
        <v>23.788600000047182</v>
      </c>
      <c r="K24" s="589">
        <v>4.842359999998644</v>
      </c>
      <c r="L24" s="589">
        <v>3.3444480000007473</v>
      </c>
      <c r="M24" s="589">
        <v>0.17259999999997486</v>
      </c>
      <c r="N24" s="590">
        <v>15.429192000047818</v>
      </c>
      <c r="O24" s="591"/>
      <c r="Q24" s="587">
        <v>10</v>
      </c>
      <c r="R24" s="588">
        <v>25.631100000100218</v>
      </c>
      <c r="S24" s="589">
        <v>4.9915200000029465</v>
      </c>
      <c r="T24" s="589">
        <v>2.969328000000063</v>
      </c>
      <c r="U24" s="589">
        <v>0.27005600000051344</v>
      </c>
      <c r="V24" s="590">
        <v>17.400196000096695</v>
      </c>
    </row>
    <row r="25" spans="1:22" ht="15.75">
      <c r="A25" s="587"/>
      <c r="B25" s="588"/>
      <c r="C25" s="589"/>
      <c r="D25" s="589"/>
      <c r="E25" s="589"/>
      <c r="F25" s="590"/>
      <c r="G25" s="591"/>
      <c r="I25" s="587"/>
      <c r="J25" s="588"/>
      <c r="K25" s="589"/>
      <c r="L25" s="589"/>
      <c r="M25" s="589"/>
      <c r="N25" s="590"/>
      <c r="O25" s="591"/>
      <c r="Q25" s="587"/>
      <c r="R25" s="588"/>
      <c r="S25" s="589"/>
      <c r="T25" s="589"/>
      <c r="U25" s="589"/>
      <c r="V25" s="590"/>
    </row>
    <row r="26" spans="1:22" ht="15.75">
      <c r="A26" s="587">
        <v>18</v>
      </c>
      <c r="B26" s="588">
        <v>12.890899999923022</v>
      </c>
      <c r="C26" s="589">
        <v>4.6221599999996217</v>
      </c>
      <c r="D26" s="589">
        <v>2.8499880000012561</v>
      </c>
      <c r="E26" s="589">
        <v>0.12186400000022785</v>
      </c>
      <c r="F26" s="590">
        <v>5.2968879999219176</v>
      </c>
      <c r="G26" s="591"/>
      <c r="I26" s="587">
        <v>22</v>
      </c>
      <c r="J26" s="588">
        <v>17.106099999987606</v>
      </c>
      <c r="K26" s="589">
        <v>3.8604000000031191</v>
      </c>
      <c r="L26" s="589">
        <v>2.9291759999994635</v>
      </c>
      <c r="M26" s="589">
        <v>7.4711999999687181E-2</v>
      </c>
      <c r="N26" s="590">
        <v>10.241811999985336</v>
      </c>
      <c r="O26" s="591"/>
      <c r="Q26" s="587">
        <v>18</v>
      </c>
      <c r="R26" s="588">
        <v>20.464400000032811</v>
      </c>
      <c r="S26" s="589">
        <v>4.4092800000020365</v>
      </c>
      <c r="T26" s="589">
        <v>2.8949280000003621</v>
      </c>
      <c r="U26" s="589">
        <v>0.10562400000062551</v>
      </c>
      <c r="V26" s="590">
        <v>13.054568000029787</v>
      </c>
    </row>
    <row r="27" spans="1:22" ht="16.5" thickBot="1">
      <c r="A27" s="599"/>
      <c r="B27" s="593"/>
      <c r="C27" s="593"/>
      <c r="D27" s="593"/>
      <c r="E27" s="593"/>
      <c r="F27" s="594"/>
      <c r="G27" s="595"/>
      <c r="I27" s="599"/>
      <c r="J27" s="593"/>
      <c r="K27" s="593"/>
      <c r="L27" s="593"/>
      <c r="M27" s="593"/>
      <c r="N27" s="594"/>
      <c r="O27" s="595"/>
      <c r="Q27" s="599"/>
      <c r="R27" s="593"/>
      <c r="S27" s="593"/>
      <c r="T27" s="593"/>
      <c r="U27" s="593"/>
      <c r="V27" s="594"/>
    </row>
    <row r="30" spans="1:22" ht="15.75">
      <c r="A30" s="1786" t="s">
        <v>3977</v>
      </c>
      <c r="B30" s="1786"/>
      <c r="C30" s="1786"/>
      <c r="D30" s="1786"/>
      <c r="E30" s="1786"/>
      <c r="F30" s="1786"/>
      <c r="G30" s="582"/>
      <c r="I30" s="1786" t="s">
        <v>3977</v>
      </c>
      <c r="J30" s="1786"/>
      <c r="K30" s="1786"/>
      <c r="L30" s="1786"/>
      <c r="M30" s="1786"/>
      <c r="N30" s="1786"/>
    </row>
    <row r="31" spans="1:22" ht="15.75">
      <c r="A31" s="583"/>
      <c r="B31" s="600"/>
      <c r="C31" s="601" t="s">
        <v>3978</v>
      </c>
      <c r="D31" s="582" t="s">
        <v>3979</v>
      </c>
      <c r="E31" s="583"/>
      <c r="F31" s="600"/>
      <c r="G31" s="600"/>
      <c r="I31" s="583"/>
      <c r="J31" s="600"/>
      <c r="K31" s="601" t="s">
        <v>3980</v>
      </c>
      <c r="L31" s="582" t="s">
        <v>3979</v>
      </c>
      <c r="M31" s="583"/>
      <c r="N31" s="600"/>
    </row>
    <row r="32" spans="1:22" ht="15.75">
      <c r="A32" s="1786" t="s">
        <v>1445</v>
      </c>
      <c r="B32" s="1786"/>
      <c r="C32" s="1786"/>
      <c r="D32" s="1786"/>
      <c r="E32" s="1786"/>
      <c r="F32" s="1786"/>
      <c r="G32" s="582"/>
      <c r="I32" s="1786" t="s">
        <v>1445</v>
      </c>
      <c r="J32" s="1786"/>
      <c r="K32" s="1786"/>
      <c r="L32" s="1786"/>
      <c r="M32" s="1786"/>
      <c r="N32" s="1786"/>
    </row>
    <row r="33" spans="1:14" ht="16.5" thickBot="1">
      <c r="A33" s="583"/>
      <c r="B33" s="583"/>
      <c r="C33" s="583"/>
      <c r="D33" s="583"/>
      <c r="E33" s="583"/>
      <c r="F33" s="582" t="s">
        <v>4405</v>
      </c>
      <c r="G33" s="582"/>
      <c r="I33" s="583"/>
      <c r="J33" s="583"/>
      <c r="K33" s="583"/>
      <c r="L33" s="583"/>
      <c r="M33" s="583"/>
      <c r="N33" s="582" t="s">
        <v>4405</v>
      </c>
    </row>
    <row r="34" spans="1:14" ht="79.5" thickBot="1">
      <c r="A34" s="596" t="s">
        <v>1446</v>
      </c>
      <c r="B34" s="596" t="s">
        <v>1447</v>
      </c>
      <c r="C34" s="596" t="s">
        <v>1448</v>
      </c>
      <c r="D34" s="596" t="s">
        <v>1449</v>
      </c>
      <c r="E34" s="596" t="s">
        <v>1450</v>
      </c>
      <c r="F34" s="596" t="s">
        <v>1451</v>
      </c>
      <c r="G34" s="598"/>
      <c r="I34" s="596" t="s">
        <v>1446</v>
      </c>
      <c r="J34" s="596" t="s">
        <v>1447</v>
      </c>
      <c r="K34" s="596" t="s">
        <v>1448</v>
      </c>
      <c r="L34" s="596" t="s">
        <v>1449</v>
      </c>
      <c r="M34" s="596" t="s">
        <v>1450</v>
      </c>
      <c r="N34" s="596" t="s">
        <v>1451</v>
      </c>
    </row>
    <row r="35" spans="1:14" ht="15.75">
      <c r="A35" s="587"/>
      <c r="B35" s="588"/>
      <c r="C35" s="589"/>
      <c r="D35" s="589"/>
      <c r="E35" s="589"/>
      <c r="F35" s="590"/>
      <c r="G35" s="591"/>
      <c r="I35" s="587"/>
      <c r="J35" s="588"/>
      <c r="K35" s="589"/>
      <c r="L35" s="589"/>
      <c r="M35" s="589"/>
      <c r="N35" s="590"/>
    </row>
    <row r="36" spans="1:14" ht="15.75">
      <c r="A36" s="602">
        <v>4</v>
      </c>
      <c r="B36" s="588">
        <v>20.424800000075265</v>
      </c>
      <c r="C36" s="589">
        <v>7.3031999999915573</v>
      </c>
      <c r="D36" s="589">
        <v>10.040723999994539</v>
      </c>
      <c r="E36" s="589">
        <v>8.4711999999077317E-2</v>
      </c>
      <c r="F36" s="590">
        <v>2.9961640000900922</v>
      </c>
      <c r="G36" s="591"/>
      <c r="I36" s="602">
        <v>4</v>
      </c>
      <c r="J36" s="588">
        <v>31.363199999997406</v>
      </c>
      <c r="K36" s="589">
        <v>10.035360000005312</v>
      </c>
      <c r="L36" s="589">
        <v>5.4735119999928008</v>
      </c>
      <c r="M36" s="589">
        <v>0.19218399999893851</v>
      </c>
      <c r="N36" s="590">
        <v>15.662144000000353</v>
      </c>
    </row>
    <row r="37" spans="1:14" ht="15.75">
      <c r="A37" s="587"/>
      <c r="B37" s="588"/>
      <c r="C37" s="589"/>
      <c r="D37" s="589"/>
      <c r="E37" s="589"/>
      <c r="F37" s="590"/>
      <c r="G37" s="591"/>
      <c r="I37" s="587"/>
      <c r="J37" s="588"/>
      <c r="K37" s="589"/>
      <c r="L37" s="589"/>
      <c r="M37" s="589"/>
      <c r="N37" s="590"/>
    </row>
    <row r="38" spans="1:14" ht="15.75">
      <c r="A38" s="602">
        <v>10</v>
      </c>
      <c r="B38" s="588">
        <v>57.823699999933979</v>
      </c>
      <c r="C38" s="589">
        <v>9.9607199999962166</v>
      </c>
      <c r="D38" s="589">
        <v>14.162775999997933</v>
      </c>
      <c r="E38" s="589">
        <v>0.19803999999910957</v>
      </c>
      <c r="F38" s="590">
        <v>33.50216399994072</v>
      </c>
      <c r="G38" s="591"/>
      <c r="I38" s="602">
        <v>10</v>
      </c>
      <c r="J38" s="588">
        <v>73.736299999998735</v>
      </c>
      <c r="K38" s="589">
        <v>16.918559999963691</v>
      </c>
      <c r="L38" s="589">
        <v>24.764267999998218</v>
      </c>
      <c r="M38" s="589">
        <v>0.44181599999997451</v>
      </c>
      <c r="N38" s="590">
        <v>31.611656000036852</v>
      </c>
    </row>
    <row r="39" spans="1:14" ht="15.75">
      <c r="A39" s="587"/>
      <c r="B39" s="588"/>
      <c r="C39" s="589"/>
      <c r="D39" s="589"/>
      <c r="E39" s="589"/>
      <c r="F39" s="590"/>
      <c r="G39" s="591"/>
      <c r="I39" s="587"/>
      <c r="J39" s="588"/>
      <c r="K39" s="589"/>
      <c r="L39" s="589"/>
      <c r="M39" s="589"/>
      <c r="N39" s="590"/>
    </row>
    <row r="40" spans="1:14" ht="15.75">
      <c r="A40" s="602">
        <v>22</v>
      </c>
      <c r="B40" s="588">
        <v>30.181799999942086</v>
      </c>
      <c r="C40" s="589">
        <v>11.094239999992714</v>
      </c>
      <c r="D40" s="589">
        <v>14.438163999997997</v>
      </c>
      <c r="E40" s="589">
        <v>9.1687999999703604E-2</v>
      </c>
      <c r="F40" s="590">
        <v>4.5577079999516696</v>
      </c>
      <c r="G40" s="591"/>
      <c r="I40" s="602">
        <v>18</v>
      </c>
      <c r="J40" s="588">
        <v>46.081200000002184</v>
      </c>
      <c r="K40" s="589">
        <v>15.907320000000619</v>
      </c>
      <c r="L40" s="589">
        <v>29.380132000003542</v>
      </c>
      <c r="M40" s="589">
        <v>0.3347759999994861</v>
      </c>
      <c r="N40" s="590">
        <v>0.45897199999853938</v>
      </c>
    </row>
    <row r="41" spans="1:14" ht="16.5" thickBot="1">
      <c r="A41" s="592"/>
      <c r="B41" s="593"/>
      <c r="C41" s="593"/>
      <c r="D41" s="593"/>
      <c r="E41" s="593"/>
      <c r="F41" s="594"/>
      <c r="G41" s="595"/>
      <c r="I41" s="592"/>
      <c r="J41" s="593"/>
      <c r="K41" s="593"/>
      <c r="L41" s="593"/>
      <c r="M41" s="593"/>
      <c r="N41" s="594"/>
    </row>
    <row r="43" spans="1:14" ht="15.75">
      <c r="A43" s="1786" t="s">
        <v>3981</v>
      </c>
      <c r="B43" s="1786"/>
      <c r="C43" s="1786"/>
      <c r="D43" s="1786"/>
      <c r="E43" s="1786"/>
      <c r="F43" s="1786"/>
      <c r="G43" s="582"/>
      <c r="I43" s="1786" t="s">
        <v>3981</v>
      </c>
      <c r="J43" s="1786"/>
      <c r="K43" s="1786"/>
      <c r="L43" s="1786"/>
      <c r="M43" s="1786"/>
      <c r="N43" s="1786"/>
    </row>
    <row r="44" spans="1:14" ht="15.75">
      <c r="A44" s="583"/>
      <c r="B44" s="600"/>
      <c r="C44" s="601" t="s">
        <v>3978</v>
      </c>
      <c r="D44" s="582" t="s">
        <v>3979</v>
      </c>
      <c r="E44" s="583"/>
      <c r="F44" s="600"/>
      <c r="G44" s="600"/>
      <c r="I44" s="583"/>
      <c r="J44" s="600"/>
      <c r="K44" s="601" t="s">
        <v>3980</v>
      </c>
      <c r="L44" s="582" t="s">
        <v>3979</v>
      </c>
      <c r="M44" s="583"/>
      <c r="N44" s="600"/>
    </row>
    <row r="45" spans="1:14" ht="15.75">
      <c r="A45" s="1786" t="s">
        <v>1445</v>
      </c>
      <c r="B45" s="1786"/>
      <c r="C45" s="1786"/>
      <c r="D45" s="1786"/>
      <c r="E45" s="1786"/>
      <c r="F45" s="1786"/>
      <c r="G45" s="582"/>
      <c r="I45" s="1786" t="s">
        <v>1445</v>
      </c>
      <c r="J45" s="1786"/>
      <c r="K45" s="1786"/>
      <c r="L45" s="1786"/>
      <c r="M45" s="1786"/>
      <c r="N45" s="1786"/>
    </row>
    <row r="46" spans="1:14" ht="16.5" thickBot="1">
      <c r="A46" s="583"/>
      <c r="B46" s="583"/>
      <c r="C46" s="583"/>
      <c r="D46" s="583"/>
      <c r="E46" s="583"/>
      <c r="F46" s="582" t="s">
        <v>1453</v>
      </c>
      <c r="G46" s="582"/>
      <c r="I46" s="583"/>
      <c r="J46" s="583"/>
      <c r="K46" s="583"/>
      <c r="L46" s="583"/>
      <c r="M46" s="583"/>
      <c r="N46" s="582" t="s">
        <v>1453</v>
      </c>
    </row>
    <row r="47" spans="1:14" ht="79.5" thickBot="1">
      <c r="A47" s="596" t="s">
        <v>1446</v>
      </c>
      <c r="B47" s="596" t="s">
        <v>1447</v>
      </c>
      <c r="C47" s="596" t="s">
        <v>1448</v>
      </c>
      <c r="D47" s="596" t="s">
        <v>1449</v>
      </c>
      <c r="E47" s="596" t="s">
        <v>1450</v>
      </c>
      <c r="F47" s="596" t="s">
        <v>1451</v>
      </c>
      <c r="G47" s="598"/>
      <c r="I47" s="596" t="s">
        <v>1446</v>
      </c>
      <c r="J47" s="596" t="s">
        <v>1447</v>
      </c>
      <c r="K47" s="596" t="s">
        <v>1448</v>
      </c>
      <c r="L47" s="596" t="s">
        <v>1449</v>
      </c>
      <c r="M47" s="596" t="s">
        <v>1450</v>
      </c>
      <c r="N47" s="596" t="s">
        <v>1451</v>
      </c>
    </row>
    <row r="48" spans="1:14" ht="15.75">
      <c r="A48" s="587"/>
      <c r="B48" s="588"/>
      <c r="C48" s="589"/>
      <c r="D48" s="589"/>
      <c r="E48" s="589"/>
      <c r="F48" s="590"/>
      <c r="G48" s="591"/>
      <c r="I48" s="587"/>
      <c r="J48" s="588"/>
      <c r="K48" s="589"/>
      <c r="L48" s="589"/>
      <c r="M48" s="589"/>
      <c r="N48" s="590"/>
    </row>
    <row r="49" spans="1:16" ht="15.75">
      <c r="A49" s="602">
        <v>4</v>
      </c>
      <c r="B49" s="588">
        <v>17.977300000071864</v>
      </c>
      <c r="C49" s="589">
        <v>4.1397599999992964</v>
      </c>
      <c r="D49" s="589">
        <v>2.4141240000019284</v>
      </c>
      <c r="E49" s="589">
        <v>6.3752000000013131E-2</v>
      </c>
      <c r="F49" s="590">
        <v>11.359664000070627</v>
      </c>
      <c r="G49" s="591"/>
      <c r="I49" s="602">
        <v>4</v>
      </c>
      <c r="J49" s="588">
        <v>15.966499999999485</v>
      </c>
      <c r="K49" s="589">
        <v>3.5654400000103124</v>
      </c>
      <c r="L49" s="589">
        <v>1.8309839999998416</v>
      </c>
      <c r="M49" s="589">
        <v>6.3120000000278509E-2</v>
      </c>
      <c r="N49" s="590">
        <v>10.506955999989053</v>
      </c>
    </row>
    <row r="50" spans="1:16" ht="15.75">
      <c r="A50" s="587"/>
      <c r="B50" s="588"/>
      <c r="C50" s="589"/>
      <c r="D50" s="589"/>
      <c r="E50" s="589"/>
      <c r="F50" s="590"/>
      <c r="G50" s="591"/>
      <c r="I50" s="587"/>
      <c r="J50" s="588"/>
      <c r="K50" s="589"/>
      <c r="L50" s="589"/>
      <c r="M50" s="589"/>
      <c r="N50" s="590"/>
    </row>
    <row r="51" spans="1:16" ht="15.75">
      <c r="A51" s="602">
        <v>10</v>
      </c>
      <c r="B51" s="588">
        <v>25.036000000098284</v>
      </c>
      <c r="C51" s="589">
        <v>5.5711199999957906</v>
      </c>
      <c r="D51" s="589">
        <v>3.0648959999987198</v>
      </c>
      <c r="E51" s="589">
        <v>0.22293599999961769</v>
      </c>
      <c r="F51" s="590">
        <v>16.177048000104158</v>
      </c>
      <c r="G51" s="591"/>
      <c r="I51" s="602">
        <v>10</v>
      </c>
      <c r="J51" s="588">
        <v>24.82920000000091</v>
      </c>
      <c r="K51" s="589">
        <v>4.8758400000087931</v>
      </c>
      <c r="L51" s="589">
        <v>2.3617440000001042</v>
      </c>
      <c r="M51" s="589">
        <v>0.30245600000023354</v>
      </c>
      <c r="N51" s="590">
        <v>17.289159999991778</v>
      </c>
    </row>
    <row r="52" spans="1:16" ht="15.75">
      <c r="A52" s="587"/>
      <c r="B52" s="588"/>
      <c r="C52" s="589"/>
      <c r="D52" s="589"/>
      <c r="E52" s="589"/>
      <c r="F52" s="590"/>
      <c r="G52" s="591"/>
      <c r="I52" s="587"/>
      <c r="J52" s="588"/>
      <c r="K52" s="589"/>
      <c r="L52" s="589"/>
      <c r="M52" s="589"/>
      <c r="N52" s="590"/>
    </row>
    <row r="53" spans="1:16" ht="15.75">
      <c r="A53" s="602">
        <v>22</v>
      </c>
      <c r="B53" s="588">
        <v>20.242199999855984</v>
      </c>
      <c r="C53" s="589">
        <v>4.926719999997113</v>
      </c>
      <c r="D53" s="589">
        <v>2.820372000000773</v>
      </c>
      <c r="E53" s="589">
        <v>6.1003200000286598E-2</v>
      </c>
      <c r="F53" s="590">
        <v>12.434104799857812</v>
      </c>
      <c r="G53" s="591"/>
      <c r="I53" s="602">
        <v>18</v>
      </c>
      <c r="J53" s="588">
        <v>20.458899999998394</v>
      </c>
      <c r="K53" s="589">
        <v>4.5680400000033838</v>
      </c>
      <c r="L53" s="589">
        <v>2.4678000000004294</v>
      </c>
      <c r="M53" s="589">
        <v>0.11188799999938794</v>
      </c>
      <c r="N53" s="590">
        <v>13.311171999995194</v>
      </c>
    </row>
    <row r="54" spans="1:16" ht="16.5" thickBot="1">
      <c r="A54" s="592"/>
      <c r="B54" s="593"/>
      <c r="C54" s="593"/>
      <c r="D54" s="593"/>
      <c r="E54" s="593"/>
      <c r="F54" s="594"/>
      <c r="G54" s="595"/>
      <c r="I54" s="592"/>
      <c r="J54" s="593"/>
      <c r="K54" s="593"/>
      <c r="L54" s="593"/>
      <c r="M54" s="593"/>
      <c r="N54" s="594"/>
    </row>
    <row r="56" spans="1:16" ht="15.75">
      <c r="A56" s="1786" t="s">
        <v>3977</v>
      </c>
      <c r="B56" s="1786"/>
      <c r="C56" s="1786"/>
      <c r="D56" s="1786"/>
      <c r="E56" s="1786"/>
      <c r="F56" s="1786"/>
      <c r="G56" s="1786"/>
      <c r="H56" s="1786"/>
      <c r="J56" s="1786" t="s">
        <v>3977</v>
      </c>
      <c r="K56" s="1786"/>
      <c r="L56" s="1786"/>
      <c r="M56" s="1786"/>
      <c r="N56" s="1786"/>
      <c r="O56" s="1786"/>
    </row>
    <row r="57" spans="1:16" ht="15.75">
      <c r="A57" s="583"/>
      <c r="B57" s="600"/>
      <c r="C57" s="583"/>
      <c r="D57" s="601" t="s">
        <v>3982</v>
      </c>
      <c r="E57" s="582" t="s">
        <v>3983</v>
      </c>
      <c r="F57" s="583"/>
      <c r="G57" s="583"/>
      <c r="H57" s="600"/>
      <c r="J57" s="583"/>
      <c r="K57" s="600"/>
      <c r="L57" s="601" t="s">
        <v>3984</v>
      </c>
      <c r="M57" s="582" t="s">
        <v>3983</v>
      </c>
      <c r="N57" s="583"/>
      <c r="O57" s="600"/>
    </row>
    <row r="58" spans="1:16" ht="15.75">
      <c r="A58" s="1786" t="s">
        <v>1445</v>
      </c>
      <c r="B58" s="1786"/>
      <c r="C58" s="1786"/>
      <c r="D58" s="1786"/>
      <c r="E58" s="1786"/>
      <c r="F58" s="1786"/>
      <c r="G58" s="1786"/>
      <c r="H58" s="1786"/>
      <c r="J58" s="1786" t="s">
        <v>1445</v>
      </c>
      <c r="K58" s="1786"/>
      <c r="L58" s="1786"/>
      <c r="M58" s="1786"/>
      <c r="N58" s="1786"/>
      <c r="O58" s="1786"/>
    </row>
    <row r="59" spans="1:16" ht="16.5" thickBot="1">
      <c r="A59" s="583"/>
      <c r="B59" s="583"/>
      <c r="C59" s="583"/>
      <c r="D59" s="583"/>
      <c r="E59" s="583"/>
      <c r="F59" s="583"/>
      <c r="G59" s="582" t="s">
        <v>4405</v>
      </c>
      <c r="J59" s="583"/>
      <c r="K59" s="583"/>
      <c r="L59" s="583"/>
      <c r="M59" s="583"/>
      <c r="N59" s="583"/>
      <c r="O59" s="582"/>
      <c r="P59" s="582" t="s">
        <v>4405</v>
      </c>
    </row>
    <row r="60" spans="1:16" ht="111" thickBot="1">
      <c r="A60" s="596" t="s">
        <v>1446</v>
      </c>
      <c r="B60" s="596" t="s">
        <v>1447</v>
      </c>
      <c r="C60" s="596" t="s">
        <v>1448</v>
      </c>
      <c r="D60" s="596" t="s">
        <v>1449</v>
      </c>
      <c r="E60" s="596" t="s">
        <v>3985</v>
      </c>
      <c r="F60" s="596" t="s">
        <v>1450</v>
      </c>
      <c r="G60" s="596" t="s">
        <v>1451</v>
      </c>
      <c r="J60" s="596" t="s">
        <v>1446</v>
      </c>
      <c r="K60" s="596" t="s">
        <v>1447</v>
      </c>
      <c r="L60" s="596" t="s">
        <v>1448</v>
      </c>
      <c r="M60" s="596" t="s">
        <v>1449</v>
      </c>
      <c r="N60" s="596" t="s">
        <v>3985</v>
      </c>
      <c r="O60" s="596" t="s">
        <v>1450</v>
      </c>
      <c r="P60" s="596" t="s">
        <v>1451</v>
      </c>
    </row>
    <row r="61" spans="1:16" ht="15.75">
      <c r="A61" s="587"/>
      <c r="B61" s="588"/>
      <c r="C61" s="589"/>
      <c r="D61" s="589"/>
      <c r="E61" s="589"/>
      <c r="F61" s="589"/>
      <c r="G61" s="590"/>
      <c r="J61" s="587"/>
      <c r="K61" s="588"/>
      <c r="L61" s="589"/>
      <c r="M61" s="589"/>
      <c r="N61" s="589"/>
      <c r="O61" s="589"/>
      <c r="P61" s="590"/>
    </row>
    <row r="62" spans="1:16" ht="15.75">
      <c r="A62" s="602">
        <v>4</v>
      </c>
      <c r="B62" s="588">
        <v>22.059399999983839</v>
      </c>
      <c r="C62" s="589">
        <v>5.3784000000119709</v>
      </c>
      <c r="D62" s="589">
        <v>4.2062880000035099</v>
      </c>
      <c r="E62" s="589">
        <v>0.53951999999990219</v>
      </c>
      <c r="F62" s="589">
        <v>8.7904000000571733E-2</v>
      </c>
      <c r="G62" s="590">
        <v>11.847287999967882</v>
      </c>
      <c r="J62" s="602">
        <v>4</v>
      </c>
      <c r="K62" s="588">
        <v>26.834499999986974</v>
      </c>
      <c r="L62" s="589">
        <v>6.5523600000160513</v>
      </c>
      <c r="M62" s="589">
        <v>4.9473720000016961</v>
      </c>
      <c r="N62" s="589">
        <v>0.51695999999956255</v>
      </c>
      <c r="O62" s="589">
        <v>0.17088799999987145</v>
      </c>
      <c r="P62" s="590">
        <v>14.646919999969793</v>
      </c>
    </row>
    <row r="63" spans="1:16" ht="15.75">
      <c r="A63" s="587"/>
      <c r="B63" s="588"/>
      <c r="C63" s="589"/>
      <c r="D63" s="589"/>
      <c r="E63" s="589"/>
      <c r="F63" s="589"/>
      <c r="G63" s="590"/>
      <c r="J63" s="587"/>
      <c r="K63" s="588"/>
      <c r="L63" s="589"/>
      <c r="M63" s="589"/>
      <c r="N63" s="589"/>
      <c r="O63" s="589"/>
      <c r="P63" s="590"/>
    </row>
    <row r="64" spans="1:16" ht="15.75">
      <c r="A64" s="602">
        <v>10</v>
      </c>
      <c r="B64" s="588">
        <v>57.831399999999576</v>
      </c>
      <c r="C64" s="589">
        <v>9.2973599999957521</v>
      </c>
      <c r="D64" s="589">
        <v>7.3116959999924385</v>
      </c>
      <c r="E64" s="589">
        <v>1.0043999999999869</v>
      </c>
      <c r="F64" s="589">
        <v>0.18620000000041953</v>
      </c>
      <c r="G64" s="590">
        <v>40.031744000010981</v>
      </c>
      <c r="J64" s="602">
        <v>10</v>
      </c>
      <c r="K64" s="588">
        <v>66.644599999998263</v>
      </c>
      <c r="L64" s="589">
        <v>11.698559999977443</v>
      </c>
      <c r="M64" s="589">
        <v>9.0491520000009977</v>
      </c>
      <c r="N64" s="589">
        <v>1.1123999999996159</v>
      </c>
      <c r="O64" s="589">
        <v>0.40539199999879716</v>
      </c>
      <c r="P64" s="590">
        <v>44.379096000021413</v>
      </c>
    </row>
    <row r="65" spans="1:16" ht="15.75">
      <c r="A65" s="587"/>
      <c r="B65" s="588"/>
      <c r="C65" s="589"/>
      <c r="D65" s="589"/>
      <c r="E65" s="589"/>
      <c r="F65" s="589"/>
      <c r="G65" s="590"/>
      <c r="J65" s="587"/>
      <c r="K65" s="588"/>
      <c r="L65" s="589"/>
      <c r="M65" s="589"/>
      <c r="N65" s="589"/>
      <c r="O65" s="589"/>
      <c r="P65" s="590"/>
    </row>
    <row r="66" spans="1:16" ht="15.75">
      <c r="A66" s="602">
        <v>22</v>
      </c>
      <c r="B66" s="588">
        <v>28.309600000015621</v>
      </c>
      <c r="C66" s="589">
        <v>8.5654799999854738</v>
      </c>
      <c r="D66" s="589">
        <v>6.8578679999919396</v>
      </c>
      <c r="E66" s="589">
        <v>0.94152000000021863</v>
      </c>
      <c r="F66" s="589">
        <v>0.107744000000013</v>
      </c>
      <c r="G66" s="590">
        <v>11.836988000037977</v>
      </c>
      <c r="J66" s="602">
        <v>22</v>
      </c>
      <c r="K66" s="588">
        <v>41.133400000019265</v>
      </c>
      <c r="L66" s="589">
        <v>10.231200000001989</v>
      </c>
      <c r="M66" s="589">
        <v>8.8908959999987651</v>
      </c>
      <c r="N66" s="589">
        <v>1.0480799999999362</v>
      </c>
      <c r="O66" s="589">
        <v>0.29315199999887681</v>
      </c>
      <c r="P66" s="590">
        <v>20.670072000019697</v>
      </c>
    </row>
    <row r="67" spans="1:16" ht="16.5" thickBot="1">
      <c r="A67" s="592"/>
      <c r="B67" s="593"/>
      <c r="C67" s="593"/>
      <c r="D67" s="593"/>
      <c r="E67" s="593"/>
      <c r="F67" s="593"/>
      <c r="G67" s="594"/>
      <c r="J67" s="592"/>
      <c r="K67" s="593"/>
      <c r="L67" s="593"/>
      <c r="M67" s="593"/>
      <c r="N67" s="593"/>
      <c r="O67" s="593"/>
      <c r="P67" s="594"/>
    </row>
    <row r="68" spans="1:16">
      <c r="A68" s="603"/>
      <c r="B68" s="603"/>
      <c r="C68" s="603"/>
      <c r="D68" s="603"/>
      <c r="E68" s="603"/>
      <c r="F68" s="603"/>
      <c r="G68" s="603"/>
      <c r="H68" s="603"/>
    </row>
    <row r="69" spans="1:16" ht="15.75">
      <c r="A69" s="1786" t="s">
        <v>3981</v>
      </c>
      <c r="B69" s="1786"/>
      <c r="C69" s="1786"/>
      <c r="D69" s="1786"/>
      <c r="E69" s="1786"/>
      <c r="F69" s="1786"/>
      <c r="G69" s="1786"/>
      <c r="H69" s="1786"/>
      <c r="J69" s="1786" t="s">
        <v>3981</v>
      </c>
      <c r="K69" s="1786"/>
      <c r="L69" s="1786"/>
      <c r="M69" s="1786"/>
      <c r="N69" s="1786"/>
      <c r="O69" s="1786"/>
    </row>
    <row r="70" spans="1:16" ht="15.75">
      <c r="A70" s="583"/>
      <c r="B70" s="600"/>
      <c r="C70" s="583"/>
      <c r="D70" s="601" t="s">
        <v>3982</v>
      </c>
      <c r="E70" s="582" t="s">
        <v>3983</v>
      </c>
      <c r="F70" s="583"/>
      <c r="G70" s="583"/>
      <c r="H70" s="600"/>
      <c r="J70" s="583"/>
      <c r="K70" s="600"/>
      <c r="L70" s="601" t="s">
        <v>3984</v>
      </c>
      <c r="M70" s="582" t="s">
        <v>3983</v>
      </c>
      <c r="N70" s="583"/>
      <c r="O70" s="600"/>
    </row>
    <row r="71" spans="1:16" ht="15.75">
      <c r="A71" s="1786" t="s">
        <v>1445</v>
      </c>
      <c r="B71" s="1786"/>
      <c r="C71" s="1786"/>
      <c r="D71" s="1786"/>
      <c r="E71" s="1786"/>
      <c r="F71" s="1786"/>
      <c r="G71" s="1786"/>
      <c r="H71" s="1786"/>
      <c r="J71" s="1786" t="s">
        <v>1445</v>
      </c>
      <c r="K71" s="1786"/>
      <c r="L71" s="1786"/>
      <c r="M71" s="1786"/>
      <c r="N71" s="1786"/>
      <c r="O71" s="1786"/>
    </row>
    <row r="72" spans="1:16" ht="16.5" thickBot="1">
      <c r="A72" s="583"/>
      <c r="B72" s="583"/>
      <c r="C72" s="583"/>
      <c r="D72" s="583"/>
      <c r="E72" s="583"/>
      <c r="F72" s="583"/>
      <c r="G72" s="582" t="s">
        <v>1453</v>
      </c>
      <c r="J72" s="583"/>
      <c r="K72" s="583"/>
      <c r="L72" s="583"/>
      <c r="M72" s="583"/>
      <c r="N72" s="583"/>
      <c r="O72" s="582"/>
      <c r="P72" s="582" t="s">
        <v>1453</v>
      </c>
    </row>
    <row r="73" spans="1:16" ht="111" thickBot="1">
      <c r="A73" s="596" t="s">
        <v>1446</v>
      </c>
      <c r="B73" s="596" t="s">
        <v>1447</v>
      </c>
      <c r="C73" s="596" t="s">
        <v>1448</v>
      </c>
      <c r="D73" s="596" t="s">
        <v>1449</v>
      </c>
      <c r="E73" s="596" t="s">
        <v>3985</v>
      </c>
      <c r="F73" s="596" t="s">
        <v>1450</v>
      </c>
      <c r="G73" s="596" t="s">
        <v>1451</v>
      </c>
      <c r="J73" s="596" t="s">
        <v>1446</v>
      </c>
      <c r="K73" s="596" t="s">
        <v>1447</v>
      </c>
      <c r="L73" s="596" t="s">
        <v>1448</v>
      </c>
      <c r="M73" s="596" t="s">
        <v>1449</v>
      </c>
      <c r="N73" s="596" t="s">
        <v>3985</v>
      </c>
      <c r="O73" s="596" t="s">
        <v>1450</v>
      </c>
      <c r="P73" s="596" t="s">
        <v>1451</v>
      </c>
    </row>
    <row r="74" spans="1:16" ht="15.75">
      <c r="A74" s="587"/>
      <c r="B74" s="588"/>
      <c r="C74" s="589"/>
      <c r="D74" s="589"/>
      <c r="E74" s="589"/>
      <c r="F74" s="589"/>
      <c r="G74" s="590"/>
      <c r="J74" s="604"/>
      <c r="K74" s="589"/>
      <c r="L74" s="589"/>
      <c r="M74" s="589"/>
      <c r="N74" s="589"/>
      <c r="O74" s="589"/>
      <c r="P74" s="605"/>
    </row>
    <row r="75" spans="1:16" ht="15.75">
      <c r="A75" s="602">
        <v>4</v>
      </c>
      <c r="B75" s="588">
        <v>18.046600000007572</v>
      </c>
      <c r="C75" s="589">
        <v>3.6813599999943105</v>
      </c>
      <c r="D75" s="589">
        <v>2.3445839999974236</v>
      </c>
      <c r="E75" s="589">
        <v>0.28079999999997651</v>
      </c>
      <c r="F75" s="589">
        <v>6.0607999999728573E-2</v>
      </c>
      <c r="G75" s="590">
        <v>11.679248000016134</v>
      </c>
      <c r="J75" s="602">
        <v>4</v>
      </c>
      <c r="K75" s="588">
        <v>18.896899999988591</v>
      </c>
      <c r="L75" s="588">
        <v>2.7626399999940983</v>
      </c>
      <c r="M75" s="588">
        <v>1.9128840000016909</v>
      </c>
      <c r="N75" s="588">
        <v>0.17543999999988955</v>
      </c>
      <c r="O75" s="588">
        <v>7.3439999999924344E-2</v>
      </c>
      <c r="P75" s="606">
        <v>13.972495999992985</v>
      </c>
    </row>
    <row r="76" spans="1:16" ht="15.75">
      <c r="A76" s="587"/>
      <c r="B76" s="588"/>
      <c r="C76" s="589"/>
      <c r="D76" s="589"/>
      <c r="E76" s="589"/>
      <c r="F76" s="589"/>
      <c r="G76" s="590"/>
      <c r="J76" s="587"/>
      <c r="K76" s="588"/>
      <c r="L76" s="588"/>
      <c r="M76" s="588"/>
      <c r="N76" s="588"/>
      <c r="O76" s="588"/>
      <c r="P76" s="606"/>
    </row>
    <row r="77" spans="1:16" ht="15.75">
      <c r="A77" s="602">
        <v>10</v>
      </c>
      <c r="B77" s="588">
        <v>25.119600000007267</v>
      </c>
      <c r="C77" s="589">
        <v>4.9427999999936221</v>
      </c>
      <c r="D77" s="589">
        <v>2.8813799999974639</v>
      </c>
      <c r="E77" s="589">
        <v>0.35784000000001015</v>
      </c>
      <c r="F77" s="589">
        <v>0.1839599999990196</v>
      </c>
      <c r="G77" s="590">
        <v>16.753620000017154</v>
      </c>
      <c r="J77" s="602">
        <v>10</v>
      </c>
      <c r="K77" s="588">
        <v>25.88300000000072</v>
      </c>
      <c r="L77" s="588">
        <v>4.2735600000052729</v>
      </c>
      <c r="M77" s="588">
        <v>2.3400120000015048</v>
      </c>
      <c r="N77" s="588">
        <v>0.27263999999991029</v>
      </c>
      <c r="O77" s="588">
        <v>0.27821599999946783</v>
      </c>
      <c r="P77" s="606">
        <v>18.718571999994566</v>
      </c>
    </row>
    <row r="78" spans="1:16" ht="15.75">
      <c r="A78" s="587"/>
      <c r="B78" s="588"/>
      <c r="C78" s="589"/>
      <c r="D78" s="589"/>
      <c r="E78" s="589"/>
      <c r="F78" s="589"/>
      <c r="G78" s="590"/>
      <c r="J78" s="587"/>
      <c r="K78" s="588"/>
      <c r="L78" s="588"/>
      <c r="M78" s="588"/>
      <c r="N78" s="588"/>
      <c r="O78" s="588"/>
      <c r="P78" s="606"/>
    </row>
    <row r="79" spans="1:16" ht="15.75">
      <c r="A79" s="602">
        <v>22</v>
      </c>
      <c r="B79" s="588">
        <v>59.479199999998627</v>
      </c>
      <c r="C79" s="589">
        <v>3.9722399999998745</v>
      </c>
      <c r="D79" s="589">
        <v>2.6268720000030772</v>
      </c>
      <c r="E79" s="589">
        <v>0.32783999999996921</v>
      </c>
      <c r="F79" s="589">
        <v>6.0472000000640944E-2</v>
      </c>
      <c r="G79" s="590">
        <v>52.49177599999507</v>
      </c>
      <c r="J79" s="602">
        <v>18</v>
      </c>
      <c r="K79" s="588">
        <v>22.879999999991696</v>
      </c>
      <c r="L79" s="588">
        <v>3.7277999999883837</v>
      </c>
      <c r="M79" s="588">
        <v>2.4654839999953224</v>
      </c>
      <c r="N79" s="588">
        <v>0.27599999999988539</v>
      </c>
      <c r="O79" s="588">
        <v>0.1354320000005782</v>
      </c>
      <c r="P79" s="606">
        <v>16.275284000007527</v>
      </c>
    </row>
    <row r="80" spans="1:16" ht="16.5" thickBot="1">
      <c r="A80" s="592"/>
      <c r="B80" s="593"/>
      <c r="C80" s="593"/>
      <c r="D80" s="593"/>
      <c r="E80" s="593"/>
      <c r="F80" s="593"/>
      <c r="G80" s="594"/>
      <c r="J80" s="592"/>
      <c r="K80" s="593"/>
      <c r="L80" s="593"/>
      <c r="M80" s="593"/>
      <c r="N80" s="593"/>
      <c r="O80" s="593"/>
      <c r="P80" s="607"/>
    </row>
    <row r="84" spans="1:16" ht="15.75">
      <c r="A84" s="1786" t="s">
        <v>3977</v>
      </c>
      <c r="B84" s="1786"/>
      <c r="C84" s="1786"/>
      <c r="D84" s="1786"/>
      <c r="E84" s="1786"/>
      <c r="F84" s="1786"/>
      <c r="G84" s="1786"/>
      <c r="H84" s="1786"/>
      <c r="J84" s="1786" t="s">
        <v>3977</v>
      </c>
      <c r="K84" s="1786"/>
      <c r="L84" s="1786"/>
      <c r="M84" s="1786"/>
      <c r="N84" s="1786"/>
      <c r="O84" s="1786"/>
      <c r="P84" s="1786"/>
    </row>
    <row r="85" spans="1:16" ht="15.75">
      <c r="A85" s="583"/>
      <c r="B85" s="600"/>
      <c r="C85" s="583"/>
      <c r="D85" s="608" t="s">
        <v>3986</v>
      </c>
      <c r="E85" s="609" t="s">
        <v>3987</v>
      </c>
      <c r="F85" s="583"/>
      <c r="G85" s="583"/>
      <c r="H85" s="600"/>
      <c r="J85" s="583"/>
      <c r="K85" s="600"/>
      <c r="L85" s="583"/>
      <c r="M85" s="608" t="s">
        <v>3988</v>
      </c>
      <c r="N85" s="609" t="s">
        <v>3987</v>
      </c>
      <c r="O85" s="583"/>
      <c r="P85" s="600"/>
    </row>
    <row r="86" spans="1:16" ht="15.75">
      <c r="A86" s="1786" t="s">
        <v>1445</v>
      </c>
      <c r="B86" s="1786"/>
      <c r="C86" s="1786"/>
      <c r="D86" s="1786"/>
      <c r="E86" s="1786"/>
      <c r="F86" s="1786"/>
      <c r="G86" s="1786"/>
      <c r="H86" s="1786"/>
      <c r="J86" s="1786" t="s">
        <v>1445</v>
      </c>
      <c r="K86" s="1786"/>
      <c r="L86" s="1786"/>
      <c r="M86" s="1786"/>
      <c r="N86" s="1786"/>
      <c r="O86" s="1786"/>
      <c r="P86" s="1786"/>
    </row>
    <row r="87" spans="1:16" ht="16.5" thickBot="1">
      <c r="A87" s="583"/>
      <c r="B87" s="583"/>
      <c r="C87" s="583"/>
      <c r="D87" s="583"/>
      <c r="E87" s="583"/>
      <c r="F87" s="583"/>
      <c r="G87" s="582" t="s">
        <v>4405</v>
      </c>
      <c r="J87" s="583"/>
      <c r="K87" s="583"/>
      <c r="L87" s="583"/>
      <c r="M87" s="583"/>
      <c r="N87" s="583"/>
      <c r="O87" s="583"/>
      <c r="P87" s="582" t="s">
        <v>1453</v>
      </c>
    </row>
    <row r="88" spans="1:16" ht="111" thickBot="1">
      <c r="A88" s="596" t="s">
        <v>1446</v>
      </c>
      <c r="B88" s="596" t="s">
        <v>1447</v>
      </c>
      <c r="C88" s="596" t="s">
        <v>1448</v>
      </c>
      <c r="D88" s="596" t="s">
        <v>1449</v>
      </c>
      <c r="E88" s="596" t="s">
        <v>3985</v>
      </c>
      <c r="F88" s="596" t="s">
        <v>1450</v>
      </c>
      <c r="G88" s="596" t="s">
        <v>1451</v>
      </c>
      <c r="J88" s="596" t="s">
        <v>1446</v>
      </c>
      <c r="K88" s="596" t="s">
        <v>1447</v>
      </c>
      <c r="L88" s="596" t="s">
        <v>1448</v>
      </c>
      <c r="M88" s="596" t="s">
        <v>1449</v>
      </c>
      <c r="N88" s="596" t="s">
        <v>3985</v>
      </c>
      <c r="O88" s="596" t="s">
        <v>1450</v>
      </c>
      <c r="P88" s="596" t="s">
        <v>1451</v>
      </c>
    </row>
    <row r="89" spans="1:16" ht="15.75">
      <c r="A89" s="587"/>
      <c r="B89" s="588"/>
      <c r="C89" s="589"/>
      <c r="D89" s="589"/>
      <c r="E89" s="589"/>
      <c r="F89" s="589"/>
      <c r="G89" s="590"/>
      <c r="J89" s="587"/>
      <c r="K89" s="588"/>
      <c r="L89" s="589"/>
      <c r="M89" s="589"/>
      <c r="N89" s="589"/>
      <c r="O89" s="589"/>
      <c r="P89" s="590"/>
    </row>
    <row r="90" spans="1:16" ht="15.75">
      <c r="A90" s="610">
        <v>4</v>
      </c>
      <c r="B90" s="611">
        <v>23.525699999917151</v>
      </c>
      <c r="C90" s="612">
        <v>5.0929199999551207</v>
      </c>
      <c r="D90" s="613">
        <v>4.1314560000062039</v>
      </c>
      <c r="E90" s="612">
        <v>0.51192000000028193</v>
      </c>
      <c r="F90" s="612">
        <v>0.10577599999917514</v>
      </c>
      <c r="G90" s="614">
        <v>13.68362799995637</v>
      </c>
      <c r="J90" s="610">
        <v>4</v>
      </c>
      <c r="K90" s="611">
        <v>23.498200000009092</v>
      </c>
      <c r="L90" s="612">
        <v>6.486480000010487</v>
      </c>
      <c r="M90" s="613">
        <v>4.5316319999996555</v>
      </c>
      <c r="N90" s="612">
        <v>0.5291999999997643</v>
      </c>
      <c r="O90" s="612">
        <v>0.20308000000024548</v>
      </c>
      <c r="P90" s="614">
        <v>11.747807999998939</v>
      </c>
    </row>
    <row r="91" spans="1:16" ht="15.75">
      <c r="A91" s="587"/>
      <c r="B91" s="588"/>
      <c r="C91" s="589"/>
      <c r="D91" s="589"/>
      <c r="E91" s="612"/>
      <c r="F91" s="589"/>
      <c r="G91" s="590"/>
      <c r="J91" s="587"/>
      <c r="K91" s="588"/>
      <c r="L91" s="589"/>
      <c r="M91" s="589"/>
      <c r="N91" s="612"/>
      <c r="O91" s="589"/>
      <c r="P91" s="590"/>
    </row>
    <row r="92" spans="1:16" ht="15.75">
      <c r="A92" s="610">
        <v>10</v>
      </c>
      <c r="B92" s="611">
        <v>56.468499999986534</v>
      </c>
      <c r="C92" s="612">
        <v>8.6227199999964803</v>
      </c>
      <c r="D92" s="613">
        <v>6.3970799999892183</v>
      </c>
      <c r="E92" s="612">
        <v>0.95759999999972933</v>
      </c>
      <c r="F92" s="612">
        <v>0.23678400000027017</v>
      </c>
      <c r="G92" s="614">
        <v>40.254316000000841</v>
      </c>
      <c r="J92" s="610">
        <v>10</v>
      </c>
      <c r="K92" s="611">
        <v>54.584199999929297</v>
      </c>
      <c r="L92" s="612">
        <v>11.189879999992991</v>
      </c>
      <c r="M92" s="613">
        <v>7.8033120000102594</v>
      </c>
      <c r="N92" s="612">
        <v>1.0567200000004959</v>
      </c>
      <c r="O92" s="612">
        <v>0.4292880000004084</v>
      </c>
      <c r="P92" s="614">
        <v>34.104999999925141</v>
      </c>
    </row>
    <row r="93" spans="1:16" ht="15.75">
      <c r="A93" s="587"/>
      <c r="B93" s="588"/>
      <c r="C93" s="589"/>
      <c r="D93" s="589"/>
      <c r="E93" s="612"/>
      <c r="F93" s="589"/>
      <c r="G93" s="590"/>
      <c r="J93" s="587"/>
      <c r="K93" s="588"/>
      <c r="L93" s="589"/>
      <c r="M93" s="589"/>
      <c r="N93" s="612"/>
      <c r="O93" s="589"/>
      <c r="P93" s="590"/>
    </row>
    <row r="94" spans="1:16" ht="15.75">
      <c r="A94" s="610">
        <v>22</v>
      </c>
      <c r="B94" s="611">
        <v>41.200500000017037</v>
      </c>
      <c r="C94" s="612">
        <v>8.4448800000100164</v>
      </c>
      <c r="D94" s="613">
        <v>6.9421799999926783</v>
      </c>
      <c r="E94" s="612">
        <v>0.98544000000038068</v>
      </c>
      <c r="F94" s="612">
        <v>0.11925599999872451</v>
      </c>
      <c r="G94" s="614">
        <v>24.708744000015237</v>
      </c>
      <c r="J94" s="610">
        <v>18</v>
      </c>
      <c r="K94" s="611">
        <v>39.407499999934771</v>
      </c>
      <c r="L94" s="612">
        <v>11.299319999991713</v>
      </c>
      <c r="M94" s="613">
        <v>8.5631400000024644</v>
      </c>
      <c r="N94" s="612">
        <v>1.1762399999988702</v>
      </c>
      <c r="O94" s="612">
        <v>0.33354399999998807</v>
      </c>
      <c r="P94" s="614">
        <v>18.035255999941732</v>
      </c>
    </row>
    <row r="95" spans="1:16" ht="16.5" thickBot="1">
      <c r="A95" s="592"/>
      <c r="B95" s="593"/>
      <c r="C95" s="593"/>
      <c r="D95" s="593"/>
      <c r="E95" s="593"/>
      <c r="F95" s="593"/>
      <c r="G95" s="594"/>
      <c r="J95" s="592"/>
      <c r="K95" s="593"/>
      <c r="L95" s="593"/>
      <c r="M95" s="593"/>
      <c r="N95" s="593"/>
      <c r="O95" s="593"/>
      <c r="P95" s="594"/>
    </row>
    <row r="104" spans="1:16" ht="15.75">
      <c r="A104" s="1786" t="s">
        <v>3981</v>
      </c>
      <c r="B104" s="1786"/>
      <c r="C104" s="1786"/>
      <c r="D104" s="1786"/>
      <c r="E104" s="1786"/>
      <c r="F104" s="1786"/>
      <c r="G104" s="1786"/>
      <c r="H104" s="1786"/>
      <c r="J104" s="1786" t="s">
        <v>3977</v>
      </c>
      <c r="K104" s="1786"/>
      <c r="L104" s="1786"/>
      <c r="M104" s="1786"/>
      <c r="N104" s="1786"/>
      <c r="O104" s="1786"/>
      <c r="P104" s="1786"/>
    </row>
    <row r="105" spans="1:16" ht="15.75">
      <c r="A105" s="583"/>
      <c r="B105" s="600"/>
      <c r="C105" s="583"/>
      <c r="D105" s="608" t="s">
        <v>3989</v>
      </c>
      <c r="E105" s="609" t="s">
        <v>3990</v>
      </c>
      <c r="F105" s="583"/>
      <c r="G105" s="583"/>
      <c r="H105" s="600"/>
      <c r="J105" s="583"/>
      <c r="K105" s="600"/>
      <c r="L105" s="583"/>
      <c r="M105" s="608" t="s">
        <v>3991</v>
      </c>
      <c r="N105" s="609" t="s">
        <v>3990</v>
      </c>
      <c r="O105" s="583"/>
      <c r="P105" s="600"/>
    </row>
    <row r="106" spans="1:16" ht="15.75">
      <c r="A106" s="1786" t="s">
        <v>1445</v>
      </c>
      <c r="B106" s="1786"/>
      <c r="C106" s="1786"/>
      <c r="D106" s="1786"/>
      <c r="E106" s="1786"/>
      <c r="F106" s="1786"/>
      <c r="G106" s="1786"/>
      <c r="H106" s="1786"/>
      <c r="J106" s="1786" t="s">
        <v>1445</v>
      </c>
      <c r="K106" s="1786"/>
      <c r="L106" s="1786"/>
      <c r="M106" s="1786"/>
      <c r="N106" s="1786"/>
      <c r="O106" s="1786"/>
      <c r="P106" s="1786"/>
    </row>
    <row r="107" spans="1:16" ht="16.5" thickBot="1">
      <c r="A107" s="583"/>
      <c r="B107" s="583"/>
      <c r="C107" s="583"/>
      <c r="D107" s="583"/>
      <c r="E107" s="583"/>
      <c r="F107" s="583"/>
      <c r="G107" s="582" t="s">
        <v>4405</v>
      </c>
      <c r="J107" s="583"/>
      <c r="K107" s="583"/>
      <c r="L107" s="583"/>
      <c r="M107" s="583"/>
      <c r="N107" s="583"/>
      <c r="O107" s="583"/>
      <c r="P107" s="582" t="s">
        <v>1453</v>
      </c>
    </row>
    <row r="108" spans="1:16" ht="111" thickBot="1">
      <c r="A108" s="596" t="s">
        <v>1446</v>
      </c>
      <c r="B108" s="596" t="s">
        <v>1447</v>
      </c>
      <c r="C108" s="596" t="s">
        <v>1448</v>
      </c>
      <c r="D108" s="596" t="s">
        <v>1449</v>
      </c>
      <c r="E108" s="596" t="s">
        <v>3985</v>
      </c>
      <c r="F108" s="596" t="s">
        <v>1450</v>
      </c>
      <c r="G108" s="596" t="s">
        <v>1451</v>
      </c>
      <c r="J108" s="596" t="s">
        <v>1446</v>
      </c>
      <c r="K108" s="596" t="s">
        <v>1447</v>
      </c>
      <c r="L108" s="596" t="s">
        <v>1448</v>
      </c>
      <c r="M108" s="596" t="s">
        <v>1449</v>
      </c>
      <c r="N108" s="596" t="s">
        <v>3985</v>
      </c>
      <c r="O108" s="596" t="s">
        <v>1450</v>
      </c>
      <c r="P108" s="596" t="s">
        <v>1451</v>
      </c>
    </row>
    <row r="109" spans="1:16" ht="15.75">
      <c r="A109" s="587"/>
      <c r="B109" s="588"/>
      <c r="C109" s="589"/>
      <c r="D109" s="589"/>
      <c r="E109" s="589"/>
      <c r="F109" s="589"/>
      <c r="G109" s="590"/>
      <c r="J109" s="587"/>
      <c r="K109" s="588"/>
      <c r="L109" s="589"/>
      <c r="M109" s="589"/>
      <c r="N109" s="589"/>
      <c r="O109" s="589"/>
      <c r="P109" s="590"/>
    </row>
    <row r="110" spans="1:16" ht="15.75">
      <c r="A110" s="610">
        <v>4</v>
      </c>
      <c r="B110" s="611">
        <v>13.622399999987948</v>
      </c>
      <c r="C110" s="612">
        <v>3.3189600000004589</v>
      </c>
      <c r="D110" s="613">
        <v>2.2041839999964403</v>
      </c>
      <c r="E110" s="612">
        <v>0.21359999999986029</v>
      </c>
      <c r="F110" s="612">
        <v>8.0760000000084625E-2</v>
      </c>
      <c r="G110" s="614">
        <v>7.8048959999911043</v>
      </c>
      <c r="J110" s="610">
        <v>3</v>
      </c>
      <c r="K110" s="611">
        <v>23.942599999992581</v>
      </c>
      <c r="L110" s="612">
        <v>7.1120399999992969</v>
      </c>
      <c r="M110" s="613">
        <v>14.204511999999086</v>
      </c>
      <c r="N110" s="612">
        <v>0.51576000000204658</v>
      </c>
      <c r="O110" s="612">
        <v>0.1732399999999836</v>
      </c>
      <c r="P110" s="614">
        <v>1.9370479999921675</v>
      </c>
    </row>
    <row r="111" spans="1:16" ht="15.75">
      <c r="A111" s="587"/>
      <c r="B111" s="588"/>
      <c r="C111" s="589"/>
      <c r="D111" s="589"/>
      <c r="E111" s="612"/>
      <c r="F111" s="589"/>
      <c r="G111" s="590"/>
      <c r="J111" s="587"/>
      <c r="K111" s="588"/>
      <c r="L111" s="589"/>
      <c r="M111" s="589"/>
      <c r="N111" s="612"/>
      <c r="O111" s="589"/>
      <c r="P111" s="590"/>
    </row>
    <row r="112" spans="1:16" ht="15.75">
      <c r="A112" s="610">
        <v>10</v>
      </c>
      <c r="B112" s="611">
        <v>20.825199999999768</v>
      </c>
      <c r="C112" s="612">
        <v>5.1122399999998942</v>
      </c>
      <c r="D112" s="613">
        <v>2.9292839999972666</v>
      </c>
      <c r="E112" s="612">
        <v>0.31248000000014142</v>
      </c>
      <c r="F112" s="612">
        <v>0.30986400000004605</v>
      </c>
      <c r="G112" s="614">
        <v>12.161332000002421</v>
      </c>
      <c r="J112" s="610">
        <v>10</v>
      </c>
      <c r="K112" s="611">
        <v>59.381300000133251</v>
      </c>
      <c r="L112" s="612">
        <v>12.503759999998785</v>
      </c>
      <c r="M112" s="613">
        <v>15.498231999999261</v>
      </c>
      <c r="N112" s="612">
        <v>1.0296000000002095</v>
      </c>
      <c r="O112" s="612">
        <v>0.44119200000001002</v>
      </c>
      <c r="P112" s="614">
        <v>29.908516000134984</v>
      </c>
    </row>
    <row r="113" spans="1:16" ht="15.75">
      <c r="A113" s="587"/>
      <c r="B113" s="588"/>
      <c r="C113" s="589"/>
      <c r="D113" s="589"/>
      <c r="E113" s="612"/>
      <c r="F113" s="589"/>
      <c r="G113" s="590"/>
      <c r="J113" s="587"/>
      <c r="K113" s="588"/>
      <c r="L113" s="589"/>
      <c r="M113" s="589"/>
      <c r="N113" s="612"/>
      <c r="O113" s="589"/>
      <c r="P113" s="590"/>
    </row>
    <row r="114" spans="1:16" ht="15.75">
      <c r="A114" s="610">
        <v>22</v>
      </c>
      <c r="B114" s="611">
        <v>12.89530000003478</v>
      </c>
      <c r="C114" s="612">
        <v>3.6672000000000478</v>
      </c>
      <c r="D114" s="613">
        <v>2.4123959999985791</v>
      </c>
      <c r="E114" s="612">
        <v>0.285120000000461</v>
      </c>
      <c r="F114" s="612">
        <v>8.5256000000068749E-2</v>
      </c>
      <c r="G114" s="614">
        <v>6.4453280000356239</v>
      </c>
      <c r="J114" s="610">
        <v>18</v>
      </c>
      <c r="K114" s="611">
        <v>50.309600000101909</v>
      </c>
      <c r="L114" s="612">
        <v>12.677040000000579</v>
      </c>
      <c r="M114" s="613">
        <v>14.725167999996884</v>
      </c>
      <c r="N114" s="612">
        <v>1.1545920000000478</v>
      </c>
      <c r="O114" s="612">
        <v>0.37095199999986084</v>
      </c>
      <c r="P114" s="614">
        <v>21.381848000104537</v>
      </c>
    </row>
    <row r="115" spans="1:16" ht="16.5" thickBot="1">
      <c r="A115" s="592"/>
      <c r="B115" s="593"/>
      <c r="C115" s="593"/>
      <c r="D115" s="593"/>
      <c r="E115" s="593"/>
      <c r="F115" s="593"/>
      <c r="G115" s="594"/>
      <c r="J115" s="592"/>
      <c r="K115" s="593"/>
      <c r="L115" s="593"/>
      <c r="M115" s="593"/>
      <c r="N115" s="593"/>
      <c r="O115" s="593"/>
      <c r="P115" s="594"/>
    </row>
    <row r="119" spans="1:16" ht="15.75">
      <c r="A119" s="1786" t="s">
        <v>3977</v>
      </c>
      <c r="B119" s="1786"/>
      <c r="C119" s="1786"/>
      <c r="D119" s="1786"/>
      <c r="E119" s="1786"/>
      <c r="F119" s="1786"/>
      <c r="G119" s="1786"/>
      <c r="H119" s="1786"/>
      <c r="J119" s="1786" t="s">
        <v>3981</v>
      </c>
      <c r="K119" s="1786"/>
      <c r="L119" s="1786"/>
      <c r="M119" s="1786"/>
      <c r="N119" s="1786"/>
      <c r="O119" s="1786"/>
      <c r="P119" s="1786"/>
    </row>
    <row r="120" spans="1:16" ht="15.75">
      <c r="A120" s="583"/>
      <c r="B120" s="600"/>
      <c r="C120" s="583"/>
      <c r="D120" s="608" t="s">
        <v>3992</v>
      </c>
      <c r="E120" s="609" t="s">
        <v>3993</v>
      </c>
      <c r="F120" s="583"/>
      <c r="G120" s="583"/>
      <c r="H120" s="600"/>
      <c r="J120" s="583"/>
      <c r="K120" s="600"/>
      <c r="L120" s="583"/>
      <c r="M120" s="608" t="s">
        <v>3992</v>
      </c>
      <c r="N120" s="609" t="s">
        <v>3993</v>
      </c>
      <c r="O120" s="583"/>
      <c r="P120" s="600"/>
    </row>
    <row r="121" spans="1:16" ht="15.75">
      <c r="A121" s="1786" t="s">
        <v>1445</v>
      </c>
      <c r="B121" s="1786"/>
      <c r="C121" s="1786"/>
      <c r="D121" s="1786"/>
      <c r="E121" s="1786"/>
      <c r="F121" s="1786"/>
      <c r="G121" s="1786"/>
      <c r="H121" s="1786"/>
      <c r="J121" s="1786" t="s">
        <v>1445</v>
      </c>
      <c r="K121" s="1786"/>
      <c r="L121" s="1786"/>
      <c r="M121" s="1786"/>
      <c r="N121" s="1786"/>
      <c r="O121" s="1786"/>
      <c r="P121" s="1786"/>
    </row>
    <row r="122" spans="1:16" ht="16.5" thickBot="1">
      <c r="A122" s="583"/>
      <c r="B122" s="583"/>
      <c r="C122" s="583"/>
      <c r="D122" s="583"/>
      <c r="E122" s="583"/>
      <c r="F122" s="583"/>
      <c r="G122" s="582" t="s">
        <v>4405</v>
      </c>
      <c r="J122" s="583"/>
      <c r="K122" s="583"/>
      <c r="L122" s="583"/>
      <c r="M122" s="583"/>
      <c r="N122" s="583"/>
      <c r="O122" s="583"/>
      <c r="P122" s="582" t="s">
        <v>1453</v>
      </c>
    </row>
    <row r="123" spans="1:16" ht="111" thickBot="1">
      <c r="A123" s="596" t="s">
        <v>1446</v>
      </c>
      <c r="B123" s="596" t="s">
        <v>1447</v>
      </c>
      <c r="C123" s="596" t="s">
        <v>1448</v>
      </c>
      <c r="D123" s="596" t="s">
        <v>1449</v>
      </c>
      <c r="E123" s="596" t="s">
        <v>3985</v>
      </c>
      <c r="F123" s="596" t="s">
        <v>1450</v>
      </c>
      <c r="G123" s="596" t="s">
        <v>1451</v>
      </c>
      <c r="J123" s="596" t="s">
        <v>1446</v>
      </c>
      <c r="K123" s="596" t="s">
        <v>1447</v>
      </c>
      <c r="L123" s="596" t="s">
        <v>1448</v>
      </c>
      <c r="M123" s="596" t="s">
        <v>1449</v>
      </c>
      <c r="N123" s="596" t="s">
        <v>3985</v>
      </c>
      <c r="O123" s="596" t="s">
        <v>1450</v>
      </c>
      <c r="P123" s="596" t="s">
        <v>1451</v>
      </c>
    </row>
    <row r="124" spans="1:16" ht="15.75">
      <c r="A124" s="587"/>
      <c r="B124" s="588"/>
      <c r="C124" s="589"/>
      <c r="D124" s="589"/>
      <c r="E124" s="589"/>
      <c r="F124" s="589"/>
      <c r="G124" s="590"/>
      <c r="J124" s="587"/>
      <c r="K124" s="588"/>
      <c r="L124" s="589"/>
      <c r="M124" s="589"/>
      <c r="N124" s="589"/>
      <c r="O124" s="589"/>
      <c r="P124" s="590"/>
    </row>
    <row r="125" spans="1:16" ht="15.75">
      <c r="A125" s="610">
        <v>4</v>
      </c>
      <c r="B125" s="611">
        <v>24.613599999884173</v>
      </c>
      <c r="C125" s="612">
        <v>10.696319999994648</v>
      </c>
      <c r="D125" s="613">
        <v>6.7162399999874278</v>
      </c>
      <c r="E125" s="612">
        <v>0.47663999999931544</v>
      </c>
      <c r="F125" s="612">
        <v>0.12806400000010715</v>
      </c>
      <c r="G125" s="614">
        <v>6.5963359999026743</v>
      </c>
      <c r="J125" s="610">
        <v>4</v>
      </c>
      <c r="K125" s="611">
        <v>16.380100000015091</v>
      </c>
      <c r="L125" s="612">
        <v>2.9979600000007847</v>
      </c>
      <c r="M125" s="613">
        <v>1.8953439999999999</v>
      </c>
      <c r="N125" s="612">
        <v>0.20447999999996683</v>
      </c>
      <c r="O125" s="612">
        <v>0.10497600000018451</v>
      </c>
      <c r="P125" s="614">
        <v>11.177340000014155</v>
      </c>
    </row>
    <row r="126" spans="1:16" ht="15.75">
      <c r="A126" s="587"/>
      <c r="B126" s="588"/>
      <c r="C126" s="589"/>
      <c r="D126" s="589"/>
      <c r="E126" s="612"/>
      <c r="F126" s="589"/>
      <c r="G126" s="590"/>
      <c r="J126" s="587"/>
      <c r="K126" s="588"/>
      <c r="L126" s="589"/>
      <c r="M126" s="589"/>
      <c r="N126" s="612"/>
      <c r="O126" s="589"/>
      <c r="P126" s="590"/>
    </row>
    <row r="127" spans="1:16" ht="15.75">
      <c r="A127" s="610">
        <v>10</v>
      </c>
      <c r="B127" s="611">
        <v>55.669899999974405</v>
      </c>
      <c r="C127" s="612">
        <v>8.8039199999984703</v>
      </c>
      <c r="D127" s="613">
        <v>16.927591999975903</v>
      </c>
      <c r="E127" s="612">
        <v>0.99191999999820835</v>
      </c>
      <c r="F127" s="612">
        <v>0.28508000000017397</v>
      </c>
      <c r="G127" s="614">
        <v>28.661388000001647</v>
      </c>
      <c r="J127" s="610">
        <v>10</v>
      </c>
      <c r="K127" s="611">
        <v>19.13670000000343</v>
      </c>
      <c r="L127" s="612">
        <v>4.2031199999998989</v>
      </c>
      <c r="M127" s="613">
        <v>2.4953599999977358</v>
      </c>
      <c r="N127" s="612">
        <v>0.27384000000001835</v>
      </c>
      <c r="O127" s="612">
        <v>0.31343999999990046</v>
      </c>
      <c r="P127" s="614">
        <v>11.850940000005878</v>
      </c>
    </row>
    <row r="128" spans="1:16" ht="15.75">
      <c r="A128" s="587"/>
      <c r="B128" s="588"/>
      <c r="C128" s="589"/>
      <c r="D128" s="589"/>
      <c r="E128" s="612"/>
      <c r="F128" s="589"/>
      <c r="G128" s="590"/>
      <c r="J128" s="587"/>
      <c r="K128" s="588"/>
      <c r="L128" s="589"/>
      <c r="M128" s="589"/>
      <c r="N128" s="612"/>
      <c r="O128" s="589"/>
      <c r="P128" s="590"/>
    </row>
    <row r="129" spans="1:17" ht="15.75">
      <c r="A129" s="610">
        <v>22</v>
      </c>
      <c r="B129" s="611">
        <v>32.809699999865188</v>
      </c>
      <c r="C129" s="612">
        <v>9.7711200000023375</v>
      </c>
      <c r="D129" s="613">
        <v>11.940240000007661</v>
      </c>
      <c r="E129" s="612">
        <v>0.97368000000060417</v>
      </c>
      <c r="F129" s="612">
        <v>0.1700160000001833</v>
      </c>
      <c r="G129" s="614">
        <v>9.9546439998544027</v>
      </c>
      <c r="J129" s="610">
        <v>22</v>
      </c>
      <c r="K129" s="611">
        <v>15.032600000010689</v>
      </c>
      <c r="L129" s="612">
        <v>3.5396400000016457</v>
      </c>
      <c r="M129" s="613">
        <v>2.3758160000026098</v>
      </c>
      <c r="N129" s="612">
        <v>0.25223999999998342</v>
      </c>
      <c r="O129" s="612">
        <v>9.6448000000251569E-2</v>
      </c>
      <c r="P129" s="614">
        <v>8.7684560000062</v>
      </c>
    </row>
    <row r="130" spans="1:17" ht="16.5" thickBot="1">
      <c r="A130" s="592"/>
      <c r="B130" s="593"/>
      <c r="C130" s="593"/>
      <c r="D130" s="593"/>
      <c r="E130" s="593"/>
      <c r="F130" s="593"/>
      <c r="G130" s="594"/>
      <c r="J130" s="592"/>
      <c r="K130" s="593"/>
      <c r="L130" s="593"/>
      <c r="M130" s="593"/>
      <c r="N130" s="593"/>
      <c r="O130" s="593"/>
      <c r="P130" s="594"/>
    </row>
    <row r="133" spans="1:17" ht="16.5" thickBot="1">
      <c r="A133" s="1437"/>
      <c r="B133" s="1437"/>
      <c r="C133" s="1437"/>
      <c r="D133" s="1437"/>
      <c r="E133" s="1437"/>
      <c r="F133" s="1437"/>
      <c r="G133" s="1437"/>
      <c r="H133" s="1437"/>
      <c r="I133" s="1437"/>
      <c r="J133" s="773"/>
    </row>
    <row r="134" spans="1:17" ht="15.75">
      <c r="A134" s="1782" t="s">
        <v>3977</v>
      </c>
      <c r="B134" s="1783"/>
      <c r="C134" s="1783"/>
      <c r="D134" s="1783"/>
      <c r="E134" s="1783"/>
      <c r="F134" s="1783"/>
      <c r="G134" s="1783"/>
      <c r="H134" s="1783"/>
      <c r="I134" s="1442"/>
      <c r="J134" s="1783" t="s">
        <v>3981</v>
      </c>
      <c r="K134" s="1783"/>
      <c r="L134" s="1783"/>
      <c r="M134" s="1783"/>
      <c r="N134" s="1783"/>
      <c r="O134" s="1783"/>
      <c r="P134" s="1783"/>
      <c r="Q134" s="1785"/>
    </row>
    <row r="135" spans="1:17" ht="15.75">
      <c r="A135" s="1443"/>
      <c r="B135" s="1437"/>
      <c r="C135" s="1436"/>
      <c r="D135" s="1438">
        <v>21</v>
      </c>
      <c r="E135" s="1439" t="s">
        <v>5039</v>
      </c>
      <c r="F135" s="1436"/>
      <c r="G135" s="1436"/>
      <c r="H135" s="1437"/>
      <c r="I135" s="1437"/>
      <c r="J135" s="1436"/>
      <c r="K135" s="1437"/>
      <c r="L135" s="1436"/>
      <c r="M135" s="1438">
        <v>21</v>
      </c>
      <c r="N135" s="1439" t="s">
        <v>5039</v>
      </c>
      <c r="O135" s="1439"/>
      <c r="P135" s="1436"/>
      <c r="Q135" s="1444"/>
    </row>
    <row r="136" spans="1:17" ht="15.75">
      <c r="A136" s="1784" t="s">
        <v>1445</v>
      </c>
      <c r="B136" s="1780"/>
      <c r="C136" s="1780"/>
      <c r="D136" s="1780"/>
      <c r="E136" s="1780"/>
      <c r="F136" s="1780"/>
      <c r="G136" s="1780"/>
      <c r="H136" s="1780"/>
      <c r="I136" s="1440"/>
      <c r="J136" s="1780" t="s">
        <v>1445</v>
      </c>
      <c r="K136" s="1780"/>
      <c r="L136" s="1780"/>
      <c r="M136" s="1780"/>
      <c r="N136" s="1780"/>
      <c r="O136" s="1780"/>
      <c r="P136" s="1780"/>
      <c r="Q136" s="1781"/>
    </row>
    <row r="137" spans="1:17" ht="16.5" thickBot="1">
      <c r="A137" s="1443"/>
      <c r="B137" s="1436"/>
      <c r="C137" s="1436"/>
      <c r="D137" s="1436"/>
      <c r="E137" s="1436"/>
      <c r="F137" s="1436"/>
      <c r="G137" s="1436"/>
      <c r="H137" s="1440" t="s">
        <v>4405</v>
      </c>
      <c r="I137" s="598"/>
      <c r="J137" s="1436"/>
      <c r="K137" s="1436"/>
      <c r="L137" s="1436"/>
      <c r="M137" s="1436"/>
      <c r="N137" s="1436"/>
      <c r="O137" s="1436"/>
      <c r="P137" s="1436"/>
      <c r="Q137" s="1445" t="s">
        <v>1453</v>
      </c>
    </row>
    <row r="138" spans="1:17" ht="111" thickBot="1">
      <c r="A138" s="596" t="s">
        <v>1446</v>
      </c>
      <c r="B138" s="596" t="s">
        <v>1447</v>
      </c>
      <c r="C138" s="596" t="s">
        <v>5035</v>
      </c>
      <c r="D138" s="596" t="s">
        <v>5036</v>
      </c>
      <c r="E138" s="596" t="s">
        <v>3985</v>
      </c>
      <c r="F138" s="596" t="s">
        <v>1450</v>
      </c>
      <c r="G138" s="596" t="s">
        <v>5037</v>
      </c>
      <c r="H138" s="596" t="s">
        <v>1451</v>
      </c>
      <c r="I138" s="591"/>
      <c r="J138" s="596" t="s">
        <v>1446</v>
      </c>
      <c r="K138" s="596" t="s">
        <v>1447</v>
      </c>
      <c r="L138" s="596" t="s">
        <v>1448</v>
      </c>
      <c r="M138" s="596" t="s">
        <v>5036</v>
      </c>
      <c r="N138" s="596" t="s">
        <v>3985</v>
      </c>
      <c r="O138" s="596" t="s">
        <v>5038</v>
      </c>
      <c r="P138" s="596" t="s">
        <v>1450</v>
      </c>
      <c r="Q138" s="596" t="s">
        <v>1451</v>
      </c>
    </row>
    <row r="139" spans="1:17" ht="15.75">
      <c r="A139" s="587"/>
      <c r="B139" s="588"/>
      <c r="C139" s="589"/>
      <c r="D139" s="589"/>
      <c r="E139" s="589"/>
      <c r="F139" s="589"/>
      <c r="G139" s="1433"/>
      <c r="H139" s="590"/>
      <c r="I139" s="1441"/>
      <c r="J139" s="587"/>
      <c r="K139" s="588"/>
      <c r="L139" s="589"/>
      <c r="M139" s="589"/>
      <c r="N139" s="589"/>
      <c r="O139" s="589"/>
      <c r="P139" s="589"/>
      <c r="Q139" s="590"/>
    </row>
    <row r="140" spans="1:17" ht="15.75">
      <c r="A140" s="610">
        <v>4</v>
      </c>
      <c r="B140" s="611">
        <v>28.758399999984249</v>
      </c>
      <c r="C140" s="612">
        <v>8.2742400000031928</v>
      </c>
      <c r="D140" s="613">
        <v>8.5569680000078634</v>
      </c>
      <c r="E140" s="612">
        <v>0.53208000000013267</v>
      </c>
      <c r="F140" s="612">
        <v>0.20204799999953593</v>
      </c>
      <c r="G140" s="1434">
        <v>0.36359999999996262</v>
      </c>
      <c r="H140" s="614">
        <v>10.829463999973562</v>
      </c>
      <c r="I140" s="591"/>
      <c r="J140" s="610">
        <v>4</v>
      </c>
      <c r="K140" s="611">
        <v>18.631800000010116</v>
      </c>
      <c r="L140" s="612">
        <v>2.9098799999991574</v>
      </c>
      <c r="M140" s="613">
        <v>2.048192000001154</v>
      </c>
      <c r="N140" s="612">
        <v>0.1742399999999179</v>
      </c>
      <c r="O140" s="612">
        <v>0.10007999999999698</v>
      </c>
      <c r="P140" s="612">
        <v>7.4896000000007915E-2</v>
      </c>
      <c r="Q140" s="614">
        <v>13.324512000009884</v>
      </c>
    </row>
    <row r="141" spans="1:17" ht="15.75">
      <c r="A141" s="587"/>
      <c r="B141" s="588"/>
      <c r="C141" s="589"/>
      <c r="D141" s="589"/>
      <c r="E141" s="612"/>
      <c r="F141" s="589"/>
      <c r="G141" s="1433"/>
      <c r="H141" s="590"/>
      <c r="I141" s="1441"/>
      <c r="J141" s="587"/>
      <c r="K141" s="588"/>
      <c r="L141" s="589"/>
      <c r="M141" s="589"/>
      <c r="N141" s="612"/>
      <c r="O141" s="612"/>
      <c r="P141" s="589"/>
      <c r="Q141" s="590"/>
    </row>
    <row r="142" spans="1:17" ht="15.75">
      <c r="A142" s="610">
        <v>10</v>
      </c>
      <c r="B142" s="611">
        <v>67.205599999997503</v>
      </c>
      <c r="C142" s="612">
        <v>13.842240000000858</v>
      </c>
      <c r="D142" s="613">
        <v>21.020175999978782</v>
      </c>
      <c r="E142" s="612">
        <v>1.1668799999984913</v>
      </c>
      <c r="F142" s="612">
        <v>0.41648799999993569</v>
      </c>
      <c r="G142" s="1434">
        <v>0.37055999999998901</v>
      </c>
      <c r="H142" s="614">
        <v>30.389256000019444</v>
      </c>
      <c r="I142" s="591"/>
      <c r="J142" s="610">
        <v>10</v>
      </c>
      <c r="K142" s="611">
        <v>22.388299999985065</v>
      </c>
      <c r="L142" s="612">
        <v>4.1332800000009229</v>
      </c>
      <c r="M142" s="613">
        <v>2.5642799999994166</v>
      </c>
      <c r="N142" s="612">
        <v>0.26783999999988733</v>
      </c>
      <c r="O142" s="612">
        <v>7.1760000000003293E-2</v>
      </c>
      <c r="P142" s="612">
        <v>0.19871999999994613</v>
      </c>
      <c r="Q142" s="614">
        <v>15.152419999984888</v>
      </c>
    </row>
    <row r="143" spans="1:17" ht="15.75">
      <c r="A143" s="587"/>
      <c r="B143" s="588"/>
      <c r="C143" s="589"/>
      <c r="D143" s="589"/>
      <c r="E143" s="612"/>
      <c r="F143" s="589"/>
      <c r="G143" s="1433"/>
      <c r="H143" s="590"/>
      <c r="I143" s="1441"/>
      <c r="J143" s="587"/>
      <c r="K143" s="588"/>
      <c r="L143" s="589"/>
      <c r="M143" s="589"/>
      <c r="N143" s="612"/>
      <c r="O143" s="612"/>
      <c r="P143" s="589"/>
      <c r="Q143" s="590"/>
    </row>
    <row r="144" spans="1:17" ht="15.75">
      <c r="A144" s="610">
        <v>18</v>
      </c>
      <c r="B144" s="611">
        <v>58.262599999996382</v>
      </c>
      <c r="C144" s="612">
        <v>14.142479999992609</v>
      </c>
      <c r="D144" s="613">
        <v>20.598375999992591</v>
      </c>
      <c r="E144" s="612">
        <v>1.2204000000019732</v>
      </c>
      <c r="F144" s="612">
        <v>0.38530400000007831</v>
      </c>
      <c r="G144" s="1434">
        <v>0.38568000000001346</v>
      </c>
      <c r="H144" s="614">
        <v>21.530360000009114</v>
      </c>
      <c r="I144" s="595"/>
      <c r="J144" s="610">
        <v>18</v>
      </c>
      <c r="K144" s="611">
        <v>24.713699999996606</v>
      </c>
      <c r="L144" s="612">
        <v>3.6451199999963135</v>
      </c>
      <c r="M144" s="613">
        <v>2.5624800000040979</v>
      </c>
      <c r="N144" s="612">
        <v>0.26928000000061725</v>
      </c>
      <c r="O144" s="612">
        <v>7.3440000000007902E-2</v>
      </c>
      <c r="P144" s="612">
        <v>0.1475199999999654</v>
      </c>
      <c r="Q144" s="614">
        <v>18.015859999995605</v>
      </c>
    </row>
    <row r="145" spans="1:17" ht="16.5" thickBot="1">
      <c r="A145" s="592"/>
      <c r="B145" s="593"/>
      <c r="C145" s="593"/>
      <c r="D145" s="593"/>
      <c r="E145" s="593"/>
      <c r="F145" s="593"/>
      <c r="G145" s="1435"/>
      <c r="H145" s="594"/>
      <c r="I145" s="773"/>
      <c r="J145" s="592"/>
      <c r="K145" s="593"/>
      <c r="L145" s="593"/>
      <c r="M145" s="593"/>
      <c r="N145" s="593"/>
      <c r="O145" s="593"/>
      <c r="P145" s="593"/>
      <c r="Q145" s="594"/>
    </row>
    <row r="146" spans="1:17">
      <c r="A146" s="1446"/>
      <c r="B146" s="773"/>
      <c r="C146" s="773"/>
      <c r="D146" s="773"/>
      <c r="E146" s="773"/>
      <c r="F146" s="773"/>
      <c r="G146" s="773"/>
      <c r="H146" s="773"/>
      <c r="I146" s="773"/>
      <c r="J146" s="773"/>
      <c r="K146" s="773"/>
      <c r="L146" s="773"/>
      <c r="M146" s="773"/>
      <c r="N146" s="773"/>
      <c r="O146" s="773"/>
      <c r="P146" s="773"/>
      <c r="Q146" s="774"/>
    </row>
    <row r="147" spans="1:17">
      <c r="A147" s="1446"/>
      <c r="B147" s="773"/>
      <c r="C147" s="773"/>
      <c r="D147" s="773"/>
      <c r="E147" s="773"/>
      <c r="F147" s="773"/>
      <c r="G147" s="773"/>
      <c r="H147" s="773"/>
      <c r="I147" s="773"/>
      <c r="J147" s="773"/>
      <c r="K147" s="773"/>
      <c r="L147" s="773"/>
      <c r="M147" s="773"/>
      <c r="N147" s="773"/>
      <c r="O147" s="773"/>
      <c r="P147" s="773"/>
      <c r="Q147" s="774"/>
    </row>
    <row r="148" spans="1:17" ht="15.75">
      <c r="A148" s="1784" t="s">
        <v>3977</v>
      </c>
      <c r="B148" s="1780"/>
      <c r="C148" s="1780"/>
      <c r="D148" s="1780"/>
      <c r="E148" s="1780"/>
      <c r="F148" s="1780"/>
      <c r="G148" s="1780"/>
      <c r="H148" s="1780"/>
      <c r="I148" s="773"/>
      <c r="J148" s="1780" t="s">
        <v>3981</v>
      </c>
      <c r="K148" s="1780"/>
      <c r="L148" s="1780"/>
      <c r="M148" s="1780"/>
      <c r="N148" s="1780"/>
      <c r="O148" s="1780"/>
      <c r="P148" s="1780"/>
      <c r="Q148" s="1781"/>
    </row>
    <row r="149" spans="1:17" ht="15.75">
      <c r="A149" s="1443"/>
      <c r="B149" s="1437"/>
      <c r="C149" s="1436"/>
      <c r="D149" s="1438">
        <v>21</v>
      </c>
      <c r="E149" s="1439" t="s">
        <v>5040</v>
      </c>
      <c r="F149" s="1436"/>
      <c r="G149" s="1436"/>
      <c r="H149" s="1437"/>
      <c r="I149" s="773"/>
      <c r="J149" s="1436"/>
      <c r="K149" s="1437"/>
      <c r="L149" s="1436"/>
      <c r="M149" s="1438">
        <v>21</v>
      </c>
      <c r="N149" s="1439" t="s">
        <v>5040</v>
      </c>
      <c r="O149" s="1439"/>
      <c r="P149" s="1436"/>
      <c r="Q149" s="1444"/>
    </row>
    <row r="150" spans="1:17" ht="15.75">
      <c r="A150" s="1784" t="s">
        <v>1445</v>
      </c>
      <c r="B150" s="1780"/>
      <c r="C150" s="1780"/>
      <c r="D150" s="1780"/>
      <c r="E150" s="1780"/>
      <c r="F150" s="1780"/>
      <c r="G150" s="1780"/>
      <c r="H150" s="1780"/>
      <c r="I150" s="773"/>
      <c r="J150" s="1780" t="s">
        <v>1445</v>
      </c>
      <c r="K150" s="1780"/>
      <c r="L150" s="1780"/>
      <c r="M150" s="1780"/>
      <c r="N150" s="1780"/>
      <c r="O150" s="1780"/>
      <c r="P150" s="1780"/>
      <c r="Q150" s="1781"/>
    </row>
    <row r="151" spans="1:17" ht="16.5" thickBot="1">
      <c r="A151" s="1443"/>
      <c r="B151" s="1436"/>
      <c r="C151" s="1436"/>
      <c r="D151" s="1436"/>
      <c r="E151" s="1436"/>
      <c r="F151" s="1436"/>
      <c r="G151" s="1436"/>
      <c r="H151" s="1440" t="s">
        <v>4405</v>
      </c>
      <c r="I151" s="773"/>
      <c r="J151" s="1436"/>
      <c r="K151" s="1436"/>
      <c r="L151" s="1436"/>
      <c r="M151" s="1436"/>
      <c r="N151" s="1436"/>
      <c r="O151" s="1436"/>
      <c r="P151" s="1436"/>
      <c r="Q151" s="1445" t="s">
        <v>1453</v>
      </c>
    </row>
    <row r="152" spans="1:17" ht="111" thickBot="1">
      <c r="A152" s="596" t="s">
        <v>1446</v>
      </c>
      <c r="B152" s="596" t="s">
        <v>1447</v>
      </c>
      <c r="C152" s="596" t="s">
        <v>5035</v>
      </c>
      <c r="D152" s="596" t="s">
        <v>5036</v>
      </c>
      <c r="E152" s="596" t="s">
        <v>3985</v>
      </c>
      <c r="F152" s="596" t="s">
        <v>1450</v>
      </c>
      <c r="G152" s="596" t="s">
        <v>5037</v>
      </c>
      <c r="H152" s="596" t="s">
        <v>1451</v>
      </c>
      <c r="I152" s="773"/>
      <c r="J152" s="596" t="s">
        <v>1446</v>
      </c>
      <c r="K152" s="596" t="s">
        <v>1447</v>
      </c>
      <c r="L152" s="596" t="s">
        <v>1448</v>
      </c>
      <c r="M152" s="596" t="s">
        <v>5036</v>
      </c>
      <c r="N152" s="596" t="s">
        <v>3985</v>
      </c>
      <c r="O152" s="596" t="s">
        <v>5038</v>
      </c>
      <c r="P152" s="596" t="s">
        <v>1450</v>
      </c>
      <c r="Q152" s="596" t="s">
        <v>1451</v>
      </c>
    </row>
    <row r="153" spans="1:17" ht="15.75">
      <c r="A153" s="587"/>
      <c r="B153" s="588"/>
      <c r="C153" s="589"/>
      <c r="D153" s="589"/>
      <c r="E153" s="589"/>
      <c r="F153" s="589"/>
      <c r="G153" s="1433"/>
      <c r="H153" s="590"/>
      <c r="I153" s="773"/>
      <c r="J153" s="587"/>
      <c r="K153" s="588"/>
      <c r="L153" s="589"/>
      <c r="M153" s="589"/>
      <c r="N153" s="589"/>
      <c r="O153" s="589"/>
      <c r="P153" s="589"/>
      <c r="Q153" s="590"/>
    </row>
    <row r="154" spans="1:17" ht="15.75">
      <c r="A154" s="610">
        <v>4</v>
      </c>
      <c r="B154" s="611">
        <v>22.97789999989709</v>
      </c>
      <c r="C154" s="612">
        <v>5.1366000000085474</v>
      </c>
      <c r="D154" s="613">
        <v>6.9437680000135327</v>
      </c>
      <c r="E154" s="612">
        <v>0.47088000000076136</v>
      </c>
      <c r="F154" s="612">
        <v>0.12130400000052304</v>
      </c>
      <c r="G154" s="1434">
        <v>0.37632000000007793</v>
      </c>
      <c r="H154" s="614">
        <v>9.9290279998736466</v>
      </c>
      <c r="I154" s="773"/>
      <c r="J154" s="610">
        <v>4</v>
      </c>
      <c r="K154" s="611">
        <v>15.160199999989288</v>
      </c>
      <c r="L154" s="612">
        <v>2.9325600000004219</v>
      </c>
      <c r="M154" s="613">
        <v>1.983631999996569</v>
      </c>
      <c r="N154" s="612">
        <v>0.18576000000030035</v>
      </c>
      <c r="O154" s="612">
        <v>8.3999999999991803E-2</v>
      </c>
      <c r="P154" s="612">
        <v>9.3743999999780947E-2</v>
      </c>
      <c r="Q154" s="614">
        <v>9.8805039999922251</v>
      </c>
    </row>
    <row r="155" spans="1:17" ht="15.75">
      <c r="A155" s="587"/>
      <c r="B155" s="588"/>
      <c r="C155" s="589"/>
      <c r="D155" s="589"/>
      <c r="E155" s="612"/>
      <c r="F155" s="589"/>
      <c r="G155" s="1433"/>
      <c r="H155" s="590"/>
      <c r="I155" s="773"/>
      <c r="J155" s="587"/>
      <c r="K155" s="588"/>
      <c r="L155" s="589"/>
      <c r="M155" s="589"/>
      <c r="N155" s="612"/>
      <c r="O155" s="612"/>
      <c r="P155" s="589"/>
      <c r="Q155" s="590"/>
    </row>
    <row r="156" spans="1:17" ht="15.75">
      <c r="A156" s="610">
        <v>10</v>
      </c>
      <c r="B156" s="611">
        <v>54.78329999970174</v>
      </c>
      <c r="C156" s="612">
        <v>9.4699200000007284</v>
      </c>
      <c r="D156" s="613">
        <v>17.937848000022221</v>
      </c>
      <c r="E156" s="612">
        <v>1.0999200000005658</v>
      </c>
      <c r="F156" s="612">
        <v>0.29048800000035502</v>
      </c>
      <c r="G156" s="1434">
        <v>0.40584000000003467</v>
      </c>
      <c r="H156" s="614">
        <v>25.579283999677838</v>
      </c>
      <c r="I156" s="773"/>
      <c r="J156" s="610">
        <v>10</v>
      </c>
      <c r="K156" s="611">
        <v>14.810399999988931</v>
      </c>
      <c r="L156" s="612">
        <v>4.2944399999996223</v>
      </c>
      <c r="M156" s="613">
        <v>2.7437280000019744</v>
      </c>
      <c r="N156" s="612">
        <v>0.29423999999926309</v>
      </c>
      <c r="O156" s="612">
        <v>7.1279999999978819E-2</v>
      </c>
      <c r="P156" s="612">
        <v>0.23592000000036251</v>
      </c>
      <c r="Q156" s="614">
        <v>7.1707919999877312</v>
      </c>
    </row>
    <row r="157" spans="1:17" ht="15.75">
      <c r="A157" s="587"/>
      <c r="B157" s="588"/>
      <c r="C157" s="589"/>
      <c r="D157" s="589"/>
      <c r="E157" s="612"/>
      <c r="F157" s="589"/>
      <c r="G157" s="1433"/>
      <c r="H157" s="590"/>
      <c r="I157" s="773"/>
      <c r="J157" s="587"/>
      <c r="K157" s="588"/>
      <c r="L157" s="589"/>
      <c r="M157" s="589"/>
      <c r="N157" s="612"/>
      <c r="O157" s="612"/>
      <c r="P157" s="589"/>
      <c r="Q157" s="590"/>
    </row>
    <row r="158" spans="1:17" ht="15.75">
      <c r="A158" s="610">
        <v>22</v>
      </c>
      <c r="B158" s="611">
        <v>34.871100000273145</v>
      </c>
      <c r="C158" s="612">
        <v>9.8373600000080845</v>
      </c>
      <c r="D158" s="613">
        <v>11.853799999994308</v>
      </c>
      <c r="E158" s="612">
        <v>1.0343999999990046</v>
      </c>
      <c r="F158" s="612">
        <v>0.1581199999995897</v>
      </c>
      <c r="G158" s="1434">
        <v>0.40511999999994253</v>
      </c>
      <c r="H158" s="614">
        <v>11.582300000272216</v>
      </c>
      <c r="I158" s="773"/>
      <c r="J158" s="610">
        <v>22</v>
      </c>
      <c r="K158" s="611">
        <v>16.150200000012774</v>
      </c>
      <c r="L158" s="612">
        <v>3.5973599999983437</v>
      </c>
      <c r="M158" s="613">
        <v>2.522959999990944</v>
      </c>
      <c r="N158" s="612">
        <v>0.27863999999881339</v>
      </c>
      <c r="O158" s="612">
        <v>7.3199999999974355E-2</v>
      </c>
      <c r="P158" s="612">
        <v>8.0992000000169345E-2</v>
      </c>
      <c r="Q158" s="614">
        <v>9.5970480000245306</v>
      </c>
    </row>
    <row r="159" spans="1:17" ht="16.5" thickBot="1">
      <c r="A159" s="592"/>
      <c r="B159" s="593"/>
      <c r="C159" s="593"/>
      <c r="D159" s="593"/>
      <c r="E159" s="593"/>
      <c r="F159" s="593"/>
      <c r="G159" s="1435"/>
      <c r="H159" s="594"/>
      <c r="I159" s="779"/>
      <c r="J159" s="592"/>
      <c r="K159" s="593"/>
      <c r="L159" s="593"/>
      <c r="M159" s="593"/>
      <c r="N159" s="593"/>
      <c r="O159" s="593"/>
      <c r="P159" s="593"/>
      <c r="Q159" s="594"/>
    </row>
  </sheetData>
  <mergeCells count="54">
    <mergeCell ref="A121:H121"/>
    <mergeCell ref="J121:P121"/>
    <mergeCell ref="A86:H86"/>
    <mergeCell ref="J86:P86"/>
    <mergeCell ref="A104:H104"/>
    <mergeCell ref="J104:P104"/>
    <mergeCell ref="A106:H106"/>
    <mergeCell ref="J106:P106"/>
    <mergeCell ref="A119:H119"/>
    <mergeCell ref="J119:P119"/>
    <mergeCell ref="A84:H84"/>
    <mergeCell ref="J84:P84"/>
    <mergeCell ref="A58:H58"/>
    <mergeCell ref="J58:O58"/>
    <mergeCell ref="A69:H69"/>
    <mergeCell ref="J69:O69"/>
    <mergeCell ref="A71:H71"/>
    <mergeCell ref="J71:O71"/>
    <mergeCell ref="A56:H56"/>
    <mergeCell ref="J56:O56"/>
    <mergeCell ref="A45:F45"/>
    <mergeCell ref="I45:N45"/>
    <mergeCell ref="A32:F32"/>
    <mergeCell ref="I32:N32"/>
    <mergeCell ref="A43:F43"/>
    <mergeCell ref="I43:N43"/>
    <mergeCell ref="Q17:V17"/>
    <mergeCell ref="A18:F18"/>
    <mergeCell ref="A30:F30"/>
    <mergeCell ref="I30:N30"/>
    <mergeCell ref="I18:N18"/>
    <mergeCell ref="Q18:V18"/>
    <mergeCell ref="A17:F17"/>
    <mergeCell ref="I17:N17"/>
    <mergeCell ref="Q5:V5"/>
    <mergeCell ref="A16:F16"/>
    <mergeCell ref="I16:N16"/>
    <mergeCell ref="Q16:V16"/>
    <mergeCell ref="A5:F5"/>
    <mergeCell ref="I5:N5"/>
    <mergeCell ref="Q3:V3"/>
    <mergeCell ref="A4:F4"/>
    <mergeCell ref="I4:N4"/>
    <mergeCell ref="Q4:V4"/>
    <mergeCell ref="A3:F3"/>
    <mergeCell ref="I3:N3"/>
    <mergeCell ref="J148:Q148"/>
    <mergeCell ref="J150:Q150"/>
    <mergeCell ref="A134:H134"/>
    <mergeCell ref="A136:H136"/>
    <mergeCell ref="A148:H148"/>
    <mergeCell ref="A150:H150"/>
    <mergeCell ref="J134:Q134"/>
    <mergeCell ref="J136:Q136"/>
  </mergeCells>
  <phoneticPr fontId="0" type="noConversion"/>
  <hyperlinks>
    <hyperlink ref="B1" location="Главная!A1" display="Переход на главную страницу"/>
  </hyperlinks>
  <pageMargins left="0.7" right="0.7" top="0.75" bottom="0.75" header="0.3" footer="0.3"/>
  <pageSetup paperSize="9" scale="53" orientation="landscape" r:id="rId1"/>
  <rowBreaks count="4" manualBreakCount="4">
    <brk id="29" max="16383" man="1"/>
    <brk id="54" max="16383" man="1"/>
    <brk id="83" max="16383" man="1"/>
    <brk id="118" max="16383"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dimension ref="A1:K37"/>
  <sheetViews>
    <sheetView view="pageBreakPreview" zoomScale="85" zoomScaleNormal="100" zoomScaleSheetLayoutView="100" workbookViewId="0">
      <selection activeCell="A29" sqref="A29"/>
    </sheetView>
  </sheetViews>
  <sheetFormatPr defaultRowHeight="14.25"/>
  <cols>
    <col min="1" max="1" width="189.42578125" style="319" customWidth="1"/>
    <col min="2" max="10" width="9.140625" style="319"/>
    <col min="11" max="11" width="155.140625" style="319" customWidth="1"/>
    <col min="12" max="16384" width="9.140625" style="319"/>
  </cols>
  <sheetData>
    <row r="1" spans="1:1" ht="15.75">
      <c r="A1" s="79" t="s">
        <v>724</v>
      </c>
    </row>
    <row r="2" spans="1:1" ht="20.25">
      <c r="A2" s="615" t="s">
        <v>3994</v>
      </c>
    </row>
    <row r="3" spans="1:1">
      <c r="A3" s="616" t="s">
        <v>3995</v>
      </c>
    </row>
    <row r="4" spans="1:1" ht="42.75" customHeight="1">
      <c r="A4" s="1450" t="s">
        <v>5046</v>
      </c>
    </row>
    <row r="5" spans="1:1">
      <c r="A5" s="1450" t="s">
        <v>3996</v>
      </c>
    </row>
    <row r="6" spans="1:1">
      <c r="A6" s="1450" t="s">
        <v>5047</v>
      </c>
    </row>
    <row r="7" spans="1:1">
      <c r="A7" s="1450" t="s">
        <v>5048</v>
      </c>
    </row>
    <row r="8" spans="1:1" ht="99" customHeight="1">
      <c r="A8" s="1450" t="s">
        <v>5055</v>
      </c>
    </row>
    <row r="9" spans="1:1" ht="84.75" customHeight="1">
      <c r="A9" s="1450" t="s">
        <v>5049</v>
      </c>
    </row>
    <row r="10" spans="1:1" ht="28.5">
      <c r="A10" s="1450" t="s">
        <v>5050</v>
      </c>
    </row>
    <row r="11" spans="1:1">
      <c r="A11" s="327"/>
    </row>
    <row r="12" spans="1:1">
      <c r="A12" s="616" t="s">
        <v>1494</v>
      </c>
    </row>
    <row r="13" spans="1:1" ht="28.5">
      <c r="A13" s="1450" t="s">
        <v>3700</v>
      </c>
    </row>
    <row r="14" spans="1:1">
      <c r="A14" s="1450" t="s">
        <v>3701</v>
      </c>
    </row>
    <row r="15" spans="1:1" ht="41.25" customHeight="1">
      <c r="A15" s="1450" t="s">
        <v>3702</v>
      </c>
    </row>
    <row r="16" spans="1:1" ht="28.5">
      <c r="A16" s="1450" t="s">
        <v>4862</v>
      </c>
    </row>
    <row r="17" spans="1:11" ht="55.5" customHeight="1">
      <c r="A17" s="1450" t="s">
        <v>1996</v>
      </c>
    </row>
    <row r="18" spans="1:11" ht="84.75" customHeight="1">
      <c r="A18" s="1450" t="s">
        <v>2943</v>
      </c>
    </row>
    <row r="19" spans="1:11" ht="57">
      <c r="A19" s="617" t="s">
        <v>2942</v>
      </c>
    </row>
    <row r="20" spans="1:11" ht="43.5" customHeight="1">
      <c r="A20" s="1450" t="s">
        <v>5051</v>
      </c>
    </row>
    <row r="21" spans="1:11">
      <c r="A21" s="617"/>
    </row>
    <row r="22" spans="1:11">
      <c r="A22" s="617" t="s">
        <v>4656</v>
      </c>
    </row>
    <row r="23" spans="1:11">
      <c r="A23" s="618" t="s">
        <v>5052</v>
      </c>
    </row>
    <row r="24" spans="1:11" ht="28.5">
      <c r="A24" s="618" t="s">
        <v>5053</v>
      </c>
    </row>
    <row r="25" spans="1:11" ht="28.5">
      <c r="A25" s="618" t="s">
        <v>4657</v>
      </c>
    </row>
    <row r="26" spans="1:11" ht="28.5">
      <c r="A26" s="618" t="s">
        <v>5054</v>
      </c>
      <c r="K26" s="619"/>
    </row>
    <row r="27" spans="1:11">
      <c r="K27" s="619"/>
    </row>
    <row r="28" spans="1:11">
      <c r="K28" s="619"/>
    </row>
    <row r="29" spans="1:11">
      <c r="K29" s="619"/>
    </row>
    <row r="30" spans="1:11">
      <c r="K30" s="619"/>
    </row>
    <row r="31" spans="1:11">
      <c r="K31" s="619"/>
    </row>
    <row r="32" spans="1:11">
      <c r="K32" s="619"/>
    </row>
    <row r="33" spans="11:11">
      <c r="K33" s="619"/>
    </row>
    <row r="34" spans="11:11">
      <c r="K34" s="619"/>
    </row>
    <row r="35" spans="11:11">
      <c r="K35" s="619"/>
    </row>
    <row r="36" spans="11:11">
      <c r="K36" s="619"/>
    </row>
    <row r="37" spans="11:11">
      <c r="K37" s="619"/>
    </row>
  </sheetData>
  <phoneticPr fontId="0" type="noConversion"/>
  <hyperlinks>
    <hyperlink ref="A1" location="Главная!A1" display="Переход на главную страницу"/>
  </hyperlinks>
  <pageMargins left="0.39370078740157483" right="0.19685039370078741" top="0.59055118110236227" bottom="0.59055118110236227" header="0.31496062992125984" footer="0.31496062992125984"/>
  <pageSetup paperSize="9" scale="63"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V396"/>
  <sheetViews>
    <sheetView view="pageBreakPreview" zoomScale="85" zoomScaleNormal="100" workbookViewId="0">
      <selection activeCell="C18" sqref="C18:G18"/>
    </sheetView>
  </sheetViews>
  <sheetFormatPr defaultRowHeight="15"/>
  <cols>
    <col min="2" max="2" width="45.7109375" customWidth="1"/>
    <col min="3" max="3" width="26" customWidth="1"/>
    <col min="4" max="4" width="30.28515625" customWidth="1"/>
    <col min="5" max="5" width="27.28515625" customWidth="1"/>
    <col min="6" max="6" width="27.5703125" customWidth="1"/>
    <col min="7" max="7" width="31.42578125" customWidth="1"/>
    <col min="8" max="8" width="25.42578125" customWidth="1"/>
  </cols>
  <sheetData>
    <row r="1" spans="1:9" ht="15.75">
      <c r="B1" s="79" t="s">
        <v>724</v>
      </c>
      <c r="I1" t="s">
        <v>4658</v>
      </c>
    </row>
    <row r="2" spans="1:9" ht="15.75">
      <c r="B2" s="79"/>
    </row>
    <row r="3" spans="1:9" ht="85.5" customHeight="1">
      <c r="B3" s="1791" t="s">
        <v>4659</v>
      </c>
      <c r="C3" s="1791"/>
      <c r="D3" s="1791"/>
      <c r="E3" s="1791"/>
      <c r="F3" s="1791"/>
      <c r="G3" s="1791"/>
    </row>
    <row r="4" spans="1:9" ht="15.75">
      <c r="A4" s="620"/>
      <c r="B4" s="1792" t="s">
        <v>4660</v>
      </c>
      <c r="C4" s="1793"/>
      <c r="D4" s="1793"/>
      <c r="E4" s="1793"/>
      <c r="F4" s="1793"/>
      <c r="G4" s="1793"/>
    </row>
    <row r="5" spans="1:9">
      <c r="G5" s="621"/>
    </row>
    <row r="6" spans="1:9">
      <c r="G6" s="621"/>
    </row>
    <row r="7" spans="1:9" ht="22.5">
      <c r="A7" s="1794" t="s">
        <v>4661</v>
      </c>
      <c r="B7" s="1794"/>
      <c r="C7" s="1794"/>
      <c r="D7" s="1794"/>
      <c r="E7" s="1794"/>
      <c r="F7" s="1794"/>
      <c r="G7" s="1794"/>
    </row>
    <row r="8" spans="1:9">
      <c r="A8" s="622"/>
      <c r="B8" s="623"/>
      <c r="C8" s="624"/>
      <c r="D8" s="624"/>
      <c r="E8" s="625"/>
      <c r="F8" s="625"/>
      <c r="G8" s="625"/>
    </row>
    <row r="9" spans="1:9">
      <c r="A9" s="626">
        <v>1</v>
      </c>
      <c r="B9" s="627" t="s">
        <v>4662</v>
      </c>
      <c r="C9" s="1795" t="s">
        <v>4663</v>
      </c>
      <c r="D9" s="1795"/>
      <c r="E9" s="1795"/>
      <c r="F9" s="1795"/>
      <c r="G9" s="1795"/>
    </row>
    <row r="10" spans="1:9">
      <c r="A10" s="626">
        <v>2</v>
      </c>
      <c r="B10" s="627" t="s">
        <v>4664</v>
      </c>
      <c r="C10" s="1788" t="s">
        <v>4665</v>
      </c>
      <c r="D10" s="1788"/>
      <c r="E10" s="1788"/>
      <c r="F10" s="1788"/>
      <c r="G10" s="1788"/>
    </row>
    <row r="11" spans="1:9" ht="94.5" customHeight="1">
      <c r="A11" s="626">
        <v>3</v>
      </c>
      <c r="B11" s="628" t="s">
        <v>4666</v>
      </c>
      <c r="C11" s="1789" t="s">
        <v>4667</v>
      </c>
      <c r="D11" s="1789"/>
      <c r="E11" s="1789"/>
      <c r="F11" s="1789"/>
      <c r="G11" s="1789"/>
    </row>
    <row r="12" spans="1:9" ht="149.25" customHeight="1">
      <c r="A12" s="626">
        <v>4</v>
      </c>
      <c r="B12" s="627" t="s">
        <v>4668</v>
      </c>
      <c r="C12" s="1790" t="s">
        <v>2749</v>
      </c>
      <c r="D12" s="1790"/>
      <c r="E12" s="1790"/>
      <c r="F12" s="1790"/>
      <c r="G12" s="1790"/>
    </row>
    <row r="13" spans="1:9" ht="298.5" customHeight="1">
      <c r="A13" s="626">
        <v>5</v>
      </c>
      <c r="B13" s="627" t="s">
        <v>2750</v>
      </c>
      <c r="C13" s="629" t="s">
        <v>780</v>
      </c>
      <c r="D13" s="629" t="s">
        <v>4690</v>
      </c>
      <c r="E13" s="630" t="s">
        <v>4691</v>
      </c>
      <c r="F13" s="630" t="s">
        <v>1774</v>
      </c>
      <c r="G13" s="630" t="s">
        <v>1775</v>
      </c>
    </row>
    <row r="14" spans="1:9" ht="25.5">
      <c r="A14" s="626">
        <v>6</v>
      </c>
      <c r="B14" s="627" t="s">
        <v>1776</v>
      </c>
      <c r="C14" s="631" t="s">
        <v>1777</v>
      </c>
      <c r="D14" s="631" t="s">
        <v>1778</v>
      </c>
      <c r="E14" s="632" t="s">
        <v>1779</v>
      </c>
      <c r="F14" s="632" t="s">
        <v>1780</v>
      </c>
      <c r="G14" s="632" t="s">
        <v>1781</v>
      </c>
    </row>
    <row r="15" spans="1:9" ht="38.25">
      <c r="A15" s="1787">
        <v>7</v>
      </c>
      <c r="B15" s="627" t="s">
        <v>1782</v>
      </c>
      <c r="C15" s="631" t="s">
        <v>1783</v>
      </c>
      <c r="D15" s="631" t="s">
        <v>1784</v>
      </c>
      <c r="E15" s="632" t="s">
        <v>1785</v>
      </c>
      <c r="F15" s="632" t="s">
        <v>1786</v>
      </c>
      <c r="G15" s="632" t="s">
        <v>1787</v>
      </c>
    </row>
    <row r="16" spans="1:9" ht="25.5">
      <c r="A16" s="1787"/>
      <c r="B16" s="627" t="s">
        <v>1788</v>
      </c>
      <c r="C16" s="631">
        <v>5.67</v>
      </c>
      <c r="D16" s="631">
        <v>5.67</v>
      </c>
      <c r="E16" s="632">
        <v>5.5</v>
      </c>
      <c r="F16" s="632">
        <v>5.4</v>
      </c>
      <c r="G16" s="632">
        <v>5.3</v>
      </c>
    </row>
    <row r="17" spans="1:8" ht="38.25">
      <c r="A17" s="626">
        <v>8</v>
      </c>
      <c r="B17" s="627" t="s">
        <v>1789</v>
      </c>
      <c r="C17" s="633" t="s">
        <v>1790</v>
      </c>
      <c r="D17" s="633" t="s">
        <v>1791</v>
      </c>
      <c r="E17" s="633" t="s">
        <v>1644</v>
      </c>
      <c r="F17" s="632"/>
      <c r="G17" s="632"/>
    </row>
    <row r="18" spans="1:8" ht="38.25">
      <c r="A18" s="626">
        <v>9</v>
      </c>
      <c r="B18" s="627" t="s">
        <v>1792</v>
      </c>
      <c r="C18" s="1796" t="s">
        <v>1793</v>
      </c>
      <c r="D18" s="1797"/>
      <c r="E18" s="1797"/>
      <c r="F18" s="1797"/>
      <c r="G18" s="1798"/>
    </row>
    <row r="19" spans="1:8" ht="76.5">
      <c r="A19" s="634">
        <v>10</v>
      </c>
      <c r="B19" s="627" t="s">
        <v>1794</v>
      </c>
      <c r="C19" s="1799">
        <v>57</v>
      </c>
      <c r="D19" s="1799"/>
      <c r="E19" s="1799"/>
      <c r="F19" s="1799"/>
      <c r="G19" s="1799"/>
    </row>
    <row r="20" spans="1:8">
      <c r="A20" s="1809">
        <v>11</v>
      </c>
      <c r="B20" s="1790" t="s">
        <v>1795</v>
      </c>
      <c r="C20" s="1815" t="s">
        <v>1796</v>
      </c>
      <c r="D20" s="1815"/>
      <c r="E20" s="1815"/>
      <c r="F20" s="1815"/>
      <c r="G20" s="1815"/>
    </row>
    <row r="21" spans="1:8">
      <c r="A21" s="1810"/>
      <c r="B21" s="1790"/>
      <c r="C21" s="635">
        <v>42354</v>
      </c>
      <c r="D21" s="636">
        <v>42725</v>
      </c>
      <c r="E21" s="1451">
        <v>42907</v>
      </c>
      <c r="F21" s="632"/>
      <c r="G21" s="632"/>
    </row>
    <row r="22" spans="1:8" ht="65.25" customHeight="1">
      <c r="A22" s="1810"/>
      <c r="B22" s="1790"/>
      <c r="C22" s="637">
        <v>36.634999999999998</v>
      </c>
      <c r="D22" s="637">
        <v>43.867999999999995</v>
      </c>
      <c r="E22" s="632">
        <v>32.076000000000001</v>
      </c>
      <c r="F22" s="632"/>
      <c r="G22" s="632"/>
    </row>
    <row r="23" spans="1:8" ht="64.5" customHeight="1">
      <c r="A23" s="626">
        <v>12</v>
      </c>
      <c r="B23" s="627" t="s">
        <v>1797</v>
      </c>
      <c r="C23" s="1799">
        <v>56.859000000000002</v>
      </c>
      <c r="D23" s="1799"/>
      <c r="E23" s="1799"/>
      <c r="F23" s="1799"/>
      <c r="G23" s="1799"/>
    </row>
    <row r="24" spans="1:8">
      <c r="G24" s="621"/>
    </row>
    <row r="25" spans="1:8">
      <c r="A25" s="638"/>
      <c r="B25" s="639"/>
      <c r="C25" s="638"/>
      <c r="D25" s="638"/>
      <c r="E25" s="638"/>
      <c r="F25" s="640"/>
      <c r="G25" s="638"/>
      <c r="H25" s="638"/>
    </row>
    <row r="26" spans="1:8">
      <c r="A26" s="638"/>
      <c r="B26" s="641" t="s">
        <v>1798</v>
      </c>
      <c r="C26" s="638"/>
      <c r="D26" s="638"/>
      <c r="E26" s="638"/>
      <c r="F26" s="640"/>
      <c r="G26" s="638"/>
      <c r="H26" s="642" t="s">
        <v>1799</v>
      </c>
    </row>
    <row r="27" spans="1:8">
      <c r="A27" s="638"/>
      <c r="B27" s="643" t="s">
        <v>1800</v>
      </c>
      <c r="C27" s="638"/>
      <c r="D27" s="638"/>
      <c r="E27" s="638"/>
      <c r="F27" s="640"/>
      <c r="G27" s="638"/>
      <c r="H27" s="640" t="s">
        <v>1801</v>
      </c>
    </row>
    <row r="28" spans="1:8">
      <c r="A28" s="638"/>
      <c r="B28" s="643"/>
      <c r="C28" s="638"/>
      <c r="D28" s="638"/>
      <c r="E28" s="638"/>
      <c r="F28" s="640"/>
      <c r="G28" s="638"/>
      <c r="H28" s="640" t="s">
        <v>1802</v>
      </c>
    </row>
    <row r="29" spans="1:8">
      <c r="A29" s="638"/>
      <c r="B29" s="643"/>
      <c r="C29" s="638"/>
      <c r="D29" s="638"/>
      <c r="E29" s="638"/>
      <c r="F29" s="640"/>
      <c r="G29" s="638"/>
      <c r="H29" s="640" t="s">
        <v>1803</v>
      </c>
    </row>
    <row r="30" spans="1:8">
      <c r="A30" s="638"/>
      <c r="B30" s="643" t="s">
        <v>1804</v>
      </c>
      <c r="C30" s="638"/>
      <c r="D30" s="638"/>
      <c r="E30" s="638"/>
      <c r="F30" s="640"/>
      <c r="G30" s="638"/>
      <c r="H30" s="638" t="s">
        <v>1805</v>
      </c>
    </row>
    <row r="31" spans="1:8">
      <c r="A31" s="638"/>
      <c r="B31" s="643" t="s">
        <v>1806</v>
      </c>
      <c r="C31" s="638"/>
      <c r="D31" s="638"/>
      <c r="E31" s="638"/>
      <c r="F31" s="640"/>
      <c r="G31" s="638"/>
      <c r="H31" s="638" t="s">
        <v>1806</v>
      </c>
    </row>
    <row r="32" spans="1:8">
      <c r="A32" s="638"/>
      <c r="B32" s="644"/>
      <c r="C32" s="638"/>
      <c r="D32" s="638"/>
      <c r="E32" s="638"/>
      <c r="F32" s="640"/>
      <c r="G32" s="638"/>
      <c r="H32" s="638"/>
    </row>
    <row r="33" spans="1:8" ht="18">
      <c r="A33" s="645"/>
      <c r="B33" s="644"/>
      <c r="C33" s="644"/>
      <c r="D33" s="638"/>
      <c r="E33" s="646" t="s">
        <v>1807</v>
      </c>
      <c r="F33" s="640"/>
      <c r="G33" s="638"/>
      <c r="H33" s="638"/>
    </row>
    <row r="34" spans="1:8">
      <c r="A34" s="638"/>
      <c r="B34" s="644"/>
      <c r="C34" s="638"/>
      <c r="D34" s="638"/>
      <c r="E34" s="638"/>
      <c r="F34" s="640"/>
      <c r="G34" s="638"/>
      <c r="H34" s="638"/>
    </row>
    <row r="35" spans="1:8">
      <c r="A35" s="647" t="s">
        <v>1808</v>
      </c>
      <c r="B35" s="647" t="s">
        <v>1809</v>
      </c>
      <c r="C35" s="647" t="s">
        <v>1810</v>
      </c>
      <c r="D35" s="647" t="s">
        <v>1811</v>
      </c>
      <c r="E35" s="647" t="s">
        <v>4877</v>
      </c>
      <c r="F35" s="647" t="s">
        <v>1812</v>
      </c>
      <c r="G35" s="647" t="s">
        <v>1813</v>
      </c>
      <c r="H35" s="647" t="s">
        <v>1814</v>
      </c>
    </row>
    <row r="36" spans="1:8" ht="25.5">
      <c r="A36" s="647">
        <v>1</v>
      </c>
      <c r="B36" s="648" t="s">
        <v>1815</v>
      </c>
      <c r="C36" s="649">
        <v>41988</v>
      </c>
      <c r="D36" s="649">
        <v>42019</v>
      </c>
      <c r="E36" s="647" t="s">
        <v>1816</v>
      </c>
      <c r="F36" s="647"/>
      <c r="G36" s="647" t="s">
        <v>1817</v>
      </c>
      <c r="H36" s="647"/>
    </row>
    <row r="37" spans="1:8" ht="25.5">
      <c r="A37" s="647">
        <v>2</v>
      </c>
      <c r="B37" s="648" t="s">
        <v>1818</v>
      </c>
      <c r="C37" s="649">
        <v>41988</v>
      </c>
      <c r="D37" s="649">
        <v>42019</v>
      </c>
      <c r="E37" s="647" t="s">
        <v>1816</v>
      </c>
      <c r="F37" s="647"/>
      <c r="G37" s="647" t="s">
        <v>1817</v>
      </c>
      <c r="H37" s="647"/>
    </row>
    <row r="38" spans="1:8" ht="25.5">
      <c r="A38" s="647">
        <v>3</v>
      </c>
      <c r="B38" s="648" t="s">
        <v>1819</v>
      </c>
      <c r="C38" s="649">
        <v>42078</v>
      </c>
      <c r="D38" s="649">
        <v>42139</v>
      </c>
      <c r="E38" s="647" t="s">
        <v>1816</v>
      </c>
      <c r="F38" s="647"/>
      <c r="G38" s="647" t="s">
        <v>1817</v>
      </c>
      <c r="H38" s="647"/>
    </row>
    <row r="39" spans="1:8" ht="25.5">
      <c r="A39" s="647">
        <v>4</v>
      </c>
      <c r="B39" s="648" t="s">
        <v>1820</v>
      </c>
      <c r="C39" s="649">
        <v>42078</v>
      </c>
      <c r="D39" s="649">
        <v>42200</v>
      </c>
      <c r="E39" s="647" t="s">
        <v>1816</v>
      </c>
      <c r="F39" s="647"/>
      <c r="G39" s="647" t="s">
        <v>1817</v>
      </c>
      <c r="H39" s="647"/>
    </row>
    <row r="40" spans="1:8">
      <c r="A40" s="650">
        <v>5</v>
      </c>
      <c r="B40" s="651" t="s">
        <v>1821</v>
      </c>
      <c r="C40" s="652">
        <v>42139</v>
      </c>
      <c r="D40" s="652">
        <v>42231</v>
      </c>
      <c r="E40" s="650" t="s">
        <v>1822</v>
      </c>
      <c r="F40" s="653">
        <v>45430</v>
      </c>
      <c r="G40" s="650" t="s">
        <v>1823</v>
      </c>
      <c r="H40" s="647"/>
    </row>
    <row r="41" spans="1:8" ht="25.5">
      <c r="A41" s="650">
        <v>6</v>
      </c>
      <c r="B41" s="651" t="s">
        <v>1824</v>
      </c>
      <c r="C41" s="652">
        <v>42139</v>
      </c>
      <c r="D41" s="652">
        <v>42231</v>
      </c>
      <c r="E41" s="650" t="s">
        <v>1822</v>
      </c>
      <c r="F41" s="653">
        <v>90860</v>
      </c>
      <c r="G41" s="650" t="s">
        <v>1823</v>
      </c>
      <c r="H41" s="647"/>
    </row>
    <row r="42" spans="1:8" ht="38.25">
      <c r="A42" s="650">
        <v>7</v>
      </c>
      <c r="B42" s="651" t="s">
        <v>1825</v>
      </c>
      <c r="C42" s="652">
        <v>42019</v>
      </c>
      <c r="D42" s="652">
        <v>42078</v>
      </c>
      <c r="E42" s="650" t="s">
        <v>1822</v>
      </c>
      <c r="F42" s="653">
        <v>713900</v>
      </c>
      <c r="G42" s="650" t="s">
        <v>1823</v>
      </c>
      <c r="H42" s="647"/>
    </row>
    <row r="43" spans="1:8" ht="38.25">
      <c r="A43" s="650">
        <v>8</v>
      </c>
      <c r="B43" s="651" t="s">
        <v>1826</v>
      </c>
      <c r="C43" s="652">
        <v>42019</v>
      </c>
      <c r="D43" s="652">
        <v>42078</v>
      </c>
      <c r="E43" s="650" t="s">
        <v>1822</v>
      </c>
      <c r="F43" s="654">
        <v>2401300</v>
      </c>
      <c r="G43" s="650" t="s">
        <v>1823</v>
      </c>
      <c r="H43" s="647"/>
    </row>
    <row r="44" spans="1:8">
      <c r="A44" s="650">
        <v>9</v>
      </c>
      <c r="B44" s="651" t="s">
        <v>1827</v>
      </c>
      <c r="C44" s="652">
        <v>42019</v>
      </c>
      <c r="D44" s="652">
        <v>42050</v>
      </c>
      <c r="E44" s="650" t="s">
        <v>1822</v>
      </c>
      <c r="F44" s="654">
        <v>3840</v>
      </c>
      <c r="G44" s="650" t="s">
        <v>1823</v>
      </c>
      <c r="H44" s="647"/>
    </row>
    <row r="45" spans="1:8" ht="38.25">
      <c r="A45" s="650">
        <v>10</v>
      </c>
      <c r="B45" s="651" t="s">
        <v>1828</v>
      </c>
      <c r="C45" s="652">
        <v>42019</v>
      </c>
      <c r="D45" s="652">
        <v>42050</v>
      </c>
      <c r="E45" s="650" t="s">
        <v>1822</v>
      </c>
      <c r="F45" s="654">
        <v>100000</v>
      </c>
      <c r="G45" s="650" t="s">
        <v>1823</v>
      </c>
      <c r="H45" s="647"/>
    </row>
    <row r="46" spans="1:8">
      <c r="A46" s="650">
        <v>11</v>
      </c>
      <c r="B46" s="651" t="s">
        <v>1829</v>
      </c>
      <c r="C46" s="652">
        <v>42019</v>
      </c>
      <c r="D46" s="652">
        <v>42063</v>
      </c>
      <c r="E46" s="650" t="s">
        <v>1822</v>
      </c>
      <c r="F46" s="654">
        <v>330990</v>
      </c>
      <c r="G46" s="650" t="s">
        <v>1823</v>
      </c>
      <c r="H46" s="647"/>
    </row>
    <row r="47" spans="1:8" ht="25.5">
      <c r="A47" s="650">
        <v>12</v>
      </c>
      <c r="B47" s="651" t="s">
        <v>1830</v>
      </c>
      <c r="C47" s="652"/>
      <c r="D47" s="652"/>
      <c r="E47" s="650" t="s">
        <v>1822</v>
      </c>
      <c r="F47" s="654"/>
      <c r="G47" s="650" t="s">
        <v>1823</v>
      </c>
      <c r="H47" s="647" t="s">
        <v>3167</v>
      </c>
    </row>
    <row r="48" spans="1:8" ht="25.5">
      <c r="A48" s="650">
        <v>13</v>
      </c>
      <c r="B48" s="651" t="s">
        <v>1831</v>
      </c>
      <c r="C48" s="652">
        <v>42050</v>
      </c>
      <c r="D48" s="652">
        <v>42095</v>
      </c>
      <c r="E48" s="650" t="s">
        <v>1822</v>
      </c>
      <c r="F48" s="654">
        <v>51920</v>
      </c>
      <c r="G48" s="650" t="s">
        <v>1823</v>
      </c>
      <c r="H48" s="647"/>
    </row>
    <row r="49" spans="1:8">
      <c r="A49" s="650">
        <v>14</v>
      </c>
      <c r="B49" s="651" t="s">
        <v>1832</v>
      </c>
      <c r="C49" s="652">
        <v>42036</v>
      </c>
      <c r="D49" s="652">
        <v>42109</v>
      </c>
      <c r="E49" s="650" t="s">
        <v>1822</v>
      </c>
      <c r="F49" s="654">
        <v>259600</v>
      </c>
      <c r="G49" s="650" t="s">
        <v>1823</v>
      </c>
      <c r="H49" s="647"/>
    </row>
    <row r="50" spans="1:8" ht="25.5">
      <c r="A50" s="650">
        <v>15</v>
      </c>
      <c r="B50" s="651" t="s">
        <v>1833</v>
      </c>
      <c r="C50" s="652">
        <v>42036</v>
      </c>
      <c r="D50" s="652">
        <v>42109</v>
      </c>
      <c r="E50" s="650"/>
      <c r="F50" s="654">
        <v>25960</v>
      </c>
      <c r="G50" s="650" t="s">
        <v>1823</v>
      </c>
      <c r="H50" s="647"/>
    </row>
    <row r="51" spans="1:8" ht="76.5">
      <c r="A51" s="650">
        <v>16</v>
      </c>
      <c r="B51" s="651" t="s">
        <v>1834</v>
      </c>
      <c r="C51" s="652">
        <v>42064</v>
      </c>
      <c r="D51" s="652">
        <v>42154</v>
      </c>
      <c r="E51" s="650" t="s">
        <v>1822</v>
      </c>
      <c r="F51" s="654">
        <v>51920</v>
      </c>
      <c r="G51" s="650" t="s">
        <v>1823</v>
      </c>
      <c r="H51" s="647"/>
    </row>
    <row r="52" spans="1:8">
      <c r="A52" s="650">
        <v>17</v>
      </c>
      <c r="B52" s="651" t="s">
        <v>1835</v>
      </c>
      <c r="C52" s="652">
        <v>42095</v>
      </c>
      <c r="D52" s="652">
        <v>42186</v>
      </c>
      <c r="E52" s="650" t="s">
        <v>1822</v>
      </c>
      <c r="F52" s="654">
        <v>350460</v>
      </c>
      <c r="G52" s="650" t="s">
        <v>1823</v>
      </c>
      <c r="H52" s="647"/>
    </row>
    <row r="53" spans="1:8" ht="25.5">
      <c r="A53" s="650">
        <v>18</v>
      </c>
      <c r="B53" s="651" t="s">
        <v>1836</v>
      </c>
      <c r="C53" s="652">
        <v>42125</v>
      </c>
      <c r="D53" s="652">
        <v>42215</v>
      </c>
      <c r="E53" s="650" t="s">
        <v>1822</v>
      </c>
      <c r="F53" s="654">
        <v>2397601</v>
      </c>
      <c r="G53" s="650" t="s">
        <v>1823</v>
      </c>
      <c r="H53" s="647"/>
    </row>
    <row r="54" spans="1:8" ht="25.5">
      <c r="A54" s="650">
        <v>19</v>
      </c>
      <c r="B54" s="651" t="s">
        <v>1837</v>
      </c>
      <c r="C54" s="652">
        <v>42216</v>
      </c>
      <c r="D54" s="652">
        <v>42231</v>
      </c>
      <c r="E54" s="650" t="s">
        <v>1822</v>
      </c>
      <c r="F54" s="655"/>
      <c r="G54" s="650" t="s">
        <v>1823</v>
      </c>
      <c r="H54" s="647"/>
    </row>
    <row r="55" spans="1:8" ht="38.25">
      <c r="A55" s="650">
        <v>20</v>
      </c>
      <c r="B55" s="651" t="s">
        <v>1838</v>
      </c>
      <c r="C55" s="652">
        <v>42263</v>
      </c>
      <c r="D55" s="652">
        <v>42264</v>
      </c>
      <c r="E55" s="650" t="s">
        <v>1822</v>
      </c>
      <c r="F55" s="654">
        <v>129800</v>
      </c>
      <c r="G55" s="650" t="s">
        <v>1823</v>
      </c>
      <c r="H55" s="647" t="s">
        <v>1839</v>
      </c>
    </row>
    <row r="56" spans="1:8" ht="38.25">
      <c r="A56" s="650">
        <v>21</v>
      </c>
      <c r="B56" s="651" t="s">
        <v>1840</v>
      </c>
      <c r="C56" s="652">
        <v>42156</v>
      </c>
      <c r="D56" s="652">
        <v>42215</v>
      </c>
      <c r="E56" s="650" t="s">
        <v>1822</v>
      </c>
      <c r="F56" s="654">
        <v>77880</v>
      </c>
      <c r="G56" s="650" t="s">
        <v>1823</v>
      </c>
      <c r="H56" s="647"/>
    </row>
    <row r="57" spans="1:8">
      <c r="A57" s="650">
        <v>22</v>
      </c>
      <c r="B57" s="651" t="s">
        <v>1841</v>
      </c>
      <c r="C57" s="652"/>
      <c r="D57" s="652"/>
      <c r="E57" s="650"/>
      <c r="F57" s="656">
        <v>64900</v>
      </c>
      <c r="G57" s="650" t="s">
        <v>1823</v>
      </c>
      <c r="H57" s="657"/>
    </row>
    <row r="58" spans="1:8" ht="38.25">
      <c r="A58" s="650">
        <v>23</v>
      </c>
      <c r="B58" s="651" t="s">
        <v>1842</v>
      </c>
      <c r="C58" s="652">
        <v>42195</v>
      </c>
      <c r="D58" s="652">
        <v>42282</v>
      </c>
      <c r="E58" s="650" t="s">
        <v>1822</v>
      </c>
      <c r="F58" s="654">
        <v>1036199</v>
      </c>
      <c r="G58" s="650" t="s">
        <v>1843</v>
      </c>
      <c r="H58" s="647"/>
    </row>
    <row r="59" spans="1:8" ht="38.25">
      <c r="A59" s="647">
        <v>24</v>
      </c>
      <c r="B59" s="648" t="s">
        <v>1844</v>
      </c>
      <c r="C59" s="649">
        <v>42019</v>
      </c>
      <c r="D59" s="649">
        <v>42050</v>
      </c>
      <c r="E59" s="647" t="s">
        <v>1845</v>
      </c>
      <c r="F59" s="658"/>
      <c r="G59" s="647" t="s">
        <v>1846</v>
      </c>
      <c r="H59" s="647"/>
    </row>
    <row r="60" spans="1:8" ht="38.25">
      <c r="A60" s="647">
        <v>25</v>
      </c>
      <c r="B60" s="648" t="s">
        <v>1847</v>
      </c>
      <c r="C60" s="649">
        <v>42050</v>
      </c>
      <c r="D60" s="649">
        <v>42057</v>
      </c>
      <c r="E60" s="647" t="s">
        <v>1845</v>
      </c>
      <c r="F60" s="658"/>
      <c r="G60" s="647" t="s">
        <v>1846</v>
      </c>
      <c r="H60" s="647"/>
    </row>
    <row r="61" spans="1:8" ht="25.5">
      <c r="A61" s="647">
        <v>26</v>
      </c>
      <c r="B61" s="648" t="s">
        <v>1848</v>
      </c>
      <c r="C61" s="649">
        <v>42057</v>
      </c>
      <c r="D61" s="649">
        <v>42063</v>
      </c>
      <c r="E61" s="647" t="s">
        <v>1845</v>
      </c>
      <c r="F61" s="658"/>
      <c r="G61" s="647" t="s">
        <v>1846</v>
      </c>
      <c r="H61" s="647"/>
    </row>
    <row r="62" spans="1:8" ht="25.5">
      <c r="A62" s="647">
        <v>27</v>
      </c>
      <c r="B62" s="648" t="s">
        <v>1849</v>
      </c>
      <c r="C62" s="649">
        <v>42064</v>
      </c>
      <c r="D62" s="649">
        <v>42094</v>
      </c>
      <c r="E62" s="647" t="s">
        <v>1845</v>
      </c>
      <c r="F62" s="658"/>
      <c r="G62" s="647" t="s">
        <v>1846</v>
      </c>
      <c r="H62" s="647"/>
    </row>
    <row r="63" spans="1:8" ht="25.5">
      <c r="A63" s="647">
        <v>28</v>
      </c>
      <c r="B63" s="648" t="s">
        <v>1850</v>
      </c>
      <c r="C63" s="649">
        <v>42095</v>
      </c>
      <c r="D63" s="649">
        <v>42155</v>
      </c>
      <c r="E63" s="647" t="s">
        <v>1845</v>
      </c>
      <c r="F63" s="658"/>
      <c r="G63" s="647" t="s">
        <v>1846</v>
      </c>
      <c r="H63" s="647"/>
    </row>
    <row r="64" spans="1:8">
      <c r="A64" s="647">
        <v>29</v>
      </c>
      <c r="B64" s="648" t="s">
        <v>1851</v>
      </c>
      <c r="C64" s="649" t="s">
        <v>1852</v>
      </c>
      <c r="D64" s="649" t="s">
        <v>1853</v>
      </c>
      <c r="E64" s="647" t="s">
        <v>1845</v>
      </c>
      <c r="F64" s="658"/>
      <c r="G64" s="647" t="s">
        <v>1846</v>
      </c>
      <c r="H64" s="647"/>
    </row>
    <row r="65" spans="1:8" ht="26.25">
      <c r="A65" s="647">
        <v>30</v>
      </c>
      <c r="B65" s="659" t="s">
        <v>1854</v>
      </c>
      <c r="C65" s="649">
        <v>42239</v>
      </c>
      <c r="D65" s="649">
        <v>42240</v>
      </c>
      <c r="E65" s="647" t="s">
        <v>1845</v>
      </c>
      <c r="F65" s="660"/>
      <c r="G65" s="647" t="s">
        <v>1846</v>
      </c>
      <c r="H65" s="647"/>
    </row>
    <row r="66" spans="1:8" ht="26.25">
      <c r="A66" s="647">
        <v>31</v>
      </c>
      <c r="B66" s="659" t="s">
        <v>618</v>
      </c>
      <c r="C66" s="649">
        <v>42241</v>
      </c>
      <c r="D66" s="649">
        <v>42242</v>
      </c>
      <c r="E66" s="647" t="s">
        <v>1845</v>
      </c>
      <c r="F66" s="660"/>
      <c r="G66" s="647" t="s">
        <v>1846</v>
      </c>
      <c r="H66" s="647"/>
    </row>
    <row r="67" spans="1:8" ht="26.25">
      <c r="A67" s="647">
        <v>32</v>
      </c>
      <c r="B67" s="659" t="s">
        <v>619</v>
      </c>
      <c r="C67" s="649">
        <v>42243</v>
      </c>
      <c r="D67" s="649">
        <v>42244</v>
      </c>
      <c r="E67" s="647" t="s">
        <v>1845</v>
      </c>
      <c r="F67" s="660"/>
      <c r="G67" s="647" t="s">
        <v>1846</v>
      </c>
      <c r="H67" s="647"/>
    </row>
    <row r="68" spans="1:8" ht="26.25">
      <c r="A68" s="647">
        <v>33</v>
      </c>
      <c r="B68" s="659" t="s">
        <v>620</v>
      </c>
      <c r="C68" s="649">
        <v>42241</v>
      </c>
      <c r="D68" s="649">
        <v>42241</v>
      </c>
      <c r="E68" s="647" t="s">
        <v>1845</v>
      </c>
      <c r="F68" s="660"/>
      <c r="G68" s="647" t="s">
        <v>1846</v>
      </c>
      <c r="H68" s="647"/>
    </row>
    <row r="69" spans="1:8" ht="26.25">
      <c r="A69" s="647">
        <v>34</v>
      </c>
      <c r="B69" s="659" t="s">
        <v>621</v>
      </c>
      <c r="C69" s="649">
        <v>42241</v>
      </c>
      <c r="D69" s="649">
        <v>42244</v>
      </c>
      <c r="E69" s="647" t="s">
        <v>1845</v>
      </c>
      <c r="F69" s="660"/>
      <c r="G69" s="647" t="s">
        <v>1846</v>
      </c>
      <c r="H69" s="647"/>
    </row>
    <row r="70" spans="1:8" ht="39">
      <c r="A70" s="647">
        <v>35</v>
      </c>
      <c r="B70" s="659" t="s">
        <v>622</v>
      </c>
      <c r="C70" s="649">
        <v>42246</v>
      </c>
      <c r="D70" s="649">
        <v>42257</v>
      </c>
      <c r="E70" s="647" t="s">
        <v>1845</v>
      </c>
      <c r="F70" s="660"/>
      <c r="G70" s="647" t="s">
        <v>1846</v>
      </c>
      <c r="H70" s="647"/>
    </row>
    <row r="71" spans="1:8" ht="26.25">
      <c r="A71" s="647">
        <v>36</v>
      </c>
      <c r="B71" s="659" t="s">
        <v>623</v>
      </c>
      <c r="C71" s="649">
        <v>42260</v>
      </c>
      <c r="D71" s="649">
        <v>42264</v>
      </c>
      <c r="E71" s="647" t="s">
        <v>1845</v>
      </c>
      <c r="F71" s="660"/>
      <c r="G71" s="647" t="s">
        <v>1846</v>
      </c>
      <c r="H71" s="647"/>
    </row>
    <row r="72" spans="1:8" ht="26.25">
      <c r="A72" s="647">
        <v>37</v>
      </c>
      <c r="B72" s="659" t="s">
        <v>624</v>
      </c>
      <c r="C72" s="649">
        <v>42260</v>
      </c>
      <c r="D72" s="649">
        <v>42275</v>
      </c>
      <c r="E72" s="647" t="s">
        <v>1845</v>
      </c>
      <c r="F72" s="660"/>
      <c r="G72" s="647" t="s">
        <v>1846</v>
      </c>
      <c r="H72" s="647"/>
    </row>
    <row r="73" spans="1:8" ht="26.25">
      <c r="A73" s="647">
        <v>38</v>
      </c>
      <c r="B73" s="659" t="s">
        <v>625</v>
      </c>
      <c r="C73" s="649">
        <v>42276</v>
      </c>
      <c r="D73" s="649">
        <v>42277</v>
      </c>
      <c r="E73" s="647" t="s">
        <v>1845</v>
      </c>
      <c r="F73" s="660"/>
      <c r="G73" s="647" t="s">
        <v>1846</v>
      </c>
      <c r="H73" s="647"/>
    </row>
    <row r="74" spans="1:8">
      <c r="A74" s="647">
        <v>39</v>
      </c>
      <c r="B74" s="648" t="s">
        <v>626</v>
      </c>
      <c r="C74" s="649" t="s">
        <v>627</v>
      </c>
      <c r="D74" s="649" t="s">
        <v>628</v>
      </c>
      <c r="E74" s="647" t="s">
        <v>1845</v>
      </c>
      <c r="F74" s="658"/>
      <c r="G74" s="647" t="s">
        <v>629</v>
      </c>
      <c r="H74" s="647"/>
    </row>
    <row r="75" spans="1:8" ht="25.5">
      <c r="A75" s="647">
        <v>40</v>
      </c>
      <c r="B75" s="648" t="s">
        <v>630</v>
      </c>
      <c r="C75" s="649" t="s">
        <v>628</v>
      </c>
      <c r="D75" s="649" t="s">
        <v>1852</v>
      </c>
      <c r="E75" s="647" t="s">
        <v>1845</v>
      </c>
      <c r="F75" s="658"/>
      <c r="G75" s="647" t="s">
        <v>629</v>
      </c>
      <c r="H75" s="647"/>
    </row>
    <row r="76" spans="1:8" ht="25.5">
      <c r="A76" s="647">
        <v>41</v>
      </c>
      <c r="B76" s="648" t="s">
        <v>631</v>
      </c>
      <c r="C76" s="649">
        <v>42156</v>
      </c>
      <c r="D76" s="649">
        <v>42185</v>
      </c>
      <c r="E76" s="647" t="s">
        <v>1845</v>
      </c>
      <c r="F76" s="658"/>
      <c r="G76" s="647" t="s">
        <v>629</v>
      </c>
      <c r="H76" s="647"/>
    </row>
    <row r="77" spans="1:8" ht="25.5">
      <c r="A77" s="647">
        <v>42</v>
      </c>
      <c r="B77" s="648" t="s">
        <v>632</v>
      </c>
      <c r="C77" s="649">
        <v>42187</v>
      </c>
      <c r="D77" s="649">
        <v>42218</v>
      </c>
      <c r="E77" s="647" t="s">
        <v>1845</v>
      </c>
      <c r="F77" s="658"/>
      <c r="G77" s="647" t="s">
        <v>629</v>
      </c>
      <c r="H77" s="647"/>
    </row>
    <row r="78" spans="1:8" ht="51">
      <c r="A78" s="647">
        <v>43</v>
      </c>
      <c r="B78" s="648" t="s">
        <v>633</v>
      </c>
      <c r="C78" s="649">
        <v>42218</v>
      </c>
      <c r="D78" s="649">
        <v>42227</v>
      </c>
      <c r="E78" s="647" t="s">
        <v>1845</v>
      </c>
      <c r="F78" s="658"/>
      <c r="G78" s="647" t="s">
        <v>629</v>
      </c>
      <c r="H78" s="647"/>
    </row>
    <row r="79" spans="1:8">
      <c r="A79" s="647">
        <v>44</v>
      </c>
      <c r="B79" s="648" t="s">
        <v>634</v>
      </c>
      <c r="C79" s="649">
        <v>42239</v>
      </c>
      <c r="D79" s="649">
        <v>42242</v>
      </c>
      <c r="E79" s="647" t="s">
        <v>1845</v>
      </c>
      <c r="F79" s="658"/>
      <c r="G79" s="647" t="s">
        <v>629</v>
      </c>
      <c r="H79" s="647"/>
    </row>
    <row r="80" spans="1:8" ht="25.5">
      <c r="A80" s="647">
        <v>45</v>
      </c>
      <c r="B80" s="648" t="s">
        <v>635</v>
      </c>
      <c r="C80" s="649">
        <v>42243</v>
      </c>
      <c r="D80" s="649">
        <v>42253</v>
      </c>
      <c r="E80" s="647" t="s">
        <v>1845</v>
      </c>
      <c r="F80" s="658"/>
      <c r="G80" s="647" t="s">
        <v>629</v>
      </c>
      <c r="H80" s="647"/>
    </row>
    <row r="81" spans="1:8" ht="39">
      <c r="A81" s="647">
        <v>46</v>
      </c>
      <c r="B81" s="659" t="s">
        <v>636</v>
      </c>
      <c r="C81" s="649">
        <v>42253</v>
      </c>
      <c r="D81" s="649">
        <v>42260</v>
      </c>
      <c r="E81" s="647" t="s">
        <v>1845</v>
      </c>
      <c r="F81" s="660"/>
      <c r="G81" s="647" t="s">
        <v>629</v>
      </c>
      <c r="H81" s="657"/>
    </row>
    <row r="82" spans="1:8" ht="51">
      <c r="A82" s="647">
        <v>47</v>
      </c>
      <c r="B82" s="648" t="s">
        <v>637</v>
      </c>
      <c r="C82" s="649">
        <v>42253</v>
      </c>
      <c r="D82" s="649">
        <v>42274</v>
      </c>
      <c r="E82" s="647" t="s">
        <v>1845</v>
      </c>
      <c r="F82" s="658"/>
      <c r="G82" s="647" t="s">
        <v>629</v>
      </c>
      <c r="H82" s="647"/>
    </row>
    <row r="83" spans="1:8">
      <c r="A83" s="647">
        <v>48</v>
      </c>
      <c r="B83" s="659" t="s">
        <v>638</v>
      </c>
      <c r="C83" s="649">
        <v>42248</v>
      </c>
      <c r="D83" s="649">
        <v>42257</v>
      </c>
      <c r="E83" s="647" t="s">
        <v>1845</v>
      </c>
      <c r="F83" s="658"/>
      <c r="G83" s="657" t="s">
        <v>639</v>
      </c>
      <c r="H83" s="647"/>
    </row>
    <row r="84" spans="1:8" ht="26.25">
      <c r="A84" s="647">
        <v>49</v>
      </c>
      <c r="B84" s="659" t="s">
        <v>640</v>
      </c>
      <c r="C84" s="649">
        <v>42257</v>
      </c>
      <c r="D84" s="649">
        <v>42267</v>
      </c>
      <c r="E84" s="657" t="s">
        <v>1816</v>
      </c>
      <c r="F84" s="658"/>
      <c r="G84" s="657" t="s">
        <v>639</v>
      </c>
      <c r="H84" s="647"/>
    </row>
    <row r="85" spans="1:8">
      <c r="A85" s="647">
        <v>50</v>
      </c>
      <c r="B85" s="659" t="s">
        <v>641</v>
      </c>
      <c r="C85" s="649">
        <v>42267</v>
      </c>
      <c r="D85" s="649">
        <v>42277</v>
      </c>
      <c r="E85" s="647" t="s">
        <v>1845</v>
      </c>
      <c r="F85" s="658"/>
      <c r="G85" s="657" t="s">
        <v>639</v>
      </c>
      <c r="H85" s="647"/>
    </row>
    <row r="86" spans="1:8" ht="26.25">
      <c r="A86" s="647">
        <v>51</v>
      </c>
      <c r="B86" s="659" t="s">
        <v>642</v>
      </c>
      <c r="C86" s="649">
        <v>42282</v>
      </c>
      <c r="D86" s="649">
        <v>42282</v>
      </c>
      <c r="E86" s="647" t="s">
        <v>1845</v>
      </c>
      <c r="F86" s="658"/>
      <c r="G86" s="657" t="s">
        <v>639</v>
      </c>
      <c r="H86" s="647"/>
    </row>
    <row r="87" spans="1:8">
      <c r="A87" s="647">
        <v>52</v>
      </c>
      <c r="B87" s="659" t="s">
        <v>643</v>
      </c>
      <c r="C87" s="649">
        <v>42282</v>
      </c>
      <c r="D87" s="649">
        <v>42282</v>
      </c>
      <c r="E87" s="657" t="s">
        <v>1816</v>
      </c>
      <c r="F87" s="660"/>
      <c r="G87" s="657" t="s">
        <v>639</v>
      </c>
      <c r="H87" s="647"/>
    </row>
    <row r="88" spans="1:8" ht="26.25">
      <c r="A88" s="647">
        <v>53</v>
      </c>
      <c r="B88" s="659" t="s">
        <v>644</v>
      </c>
      <c r="C88" s="649">
        <v>42282</v>
      </c>
      <c r="D88" s="649">
        <v>42285</v>
      </c>
      <c r="E88" s="647" t="s">
        <v>1845</v>
      </c>
      <c r="F88" s="660"/>
      <c r="G88" s="657" t="s">
        <v>639</v>
      </c>
      <c r="H88" s="647"/>
    </row>
    <row r="89" spans="1:8" ht="26.25">
      <c r="A89" s="647">
        <v>54</v>
      </c>
      <c r="B89" s="659" t="s">
        <v>645</v>
      </c>
      <c r="C89" s="661">
        <v>42285</v>
      </c>
      <c r="D89" s="661">
        <v>42292</v>
      </c>
      <c r="E89" s="657" t="s">
        <v>1845</v>
      </c>
      <c r="F89" s="660"/>
      <c r="G89" s="657" t="s">
        <v>639</v>
      </c>
      <c r="H89" s="657"/>
    </row>
    <row r="90" spans="1:8">
      <c r="A90" s="644"/>
      <c r="B90" s="644"/>
      <c r="C90" s="644"/>
      <c r="D90" s="644"/>
      <c r="E90" s="644"/>
      <c r="F90" s="644"/>
      <c r="G90" s="644"/>
      <c r="H90" s="644"/>
    </row>
    <row r="91" spans="1:8">
      <c r="A91" s="638"/>
      <c r="B91" s="655" t="s">
        <v>646</v>
      </c>
      <c r="C91" s="638"/>
      <c r="D91" s="638"/>
      <c r="E91" s="638"/>
      <c r="F91" s="662">
        <f>SUM(F40:F90)</f>
        <v>8132560</v>
      </c>
      <c r="G91" s="638"/>
      <c r="H91" s="638"/>
    </row>
    <row r="92" spans="1:8">
      <c r="A92" s="638"/>
      <c r="B92" s="644"/>
      <c r="C92" s="638"/>
      <c r="D92" s="638"/>
      <c r="E92" s="638"/>
      <c r="F92" s="640"/>
      <c r="G92" s="638"/>
      <c r="H92" s="638"/>
    </row>
    <row r="93" spans="1:8">
      <c r="A93" s="638"/>
      <c r="B93" s="644" t="s">
        <v>4908</v>
      </c>
      <c r="C93" s="638"/>
      <c r="D93" s="638"/>
      <c r="E93" s="638"/>
      <c r="F93" s="638"/>
      <c r="G93" s="640" t="s">
        <v>647</v>
      </c>
      <c r="H93" s="638"/>
    </row>
    <row r="94" spans="1:8">
      <c r="A94" s="638"/>
      <c r="B94" s="644"/>
      <c r="C94" s="638"/>
      <c r="D94" s="638"/>
      <c r="E94" s="638"/>
      <c r="F94" s="638"/>
      <c r="G94" s="640"/>
      <c r="H94" s="638"/>
    </row>
    <row r="95" spans="1:8">
      <c r="A95" s="638"/>
      <c r="B95" s="644" t="s">
        <v>648</v>
      </c>
      <c r="C95" s="638"/>
      <c r="D95" s="638"/>
      <c r="E95" s="638"/>
      <c r="F95" s="638"/>
      <c r="G95" s="640" t="s">
        <v>649</v>
      </c>
      <c r="H95" s="638"/>
    </row>
    <row r="96" spans="1:8">
      <c r="A96" s="638"/>
      <c r="B96" s="644"/>
      <c r="C96" s="638"/>
      <c r="D96" s="638"/>
      <c r="E96" s="638"/>
      <c r="F96" s="640"/>
      <c r="G96" s="640"/>
      <c r="H96" s="638"/>
    </row>
    <row r="97" spans="1:8">
      <c r="A97" s="638"/>
      <c r="B97" s="644" t="s">
        <v>1864</v>
      </c>
      <c r="C97" s="638"/>
      <c r="D97" s="638"/>
      <c r="E97" s="638"/>
      <c r="F97" s="640"/>
      <c r="G97" s="640" t="s">
        <v>650</v>
      </c>
      <c r="H97" s="638"/>
    </row>
    <row r="98" spans="1:8">
      <c r="A98" s="638"/>
      <c r="B98" s="644"/>
      <c r="C98" s="638"/>
      <c r="D98" s="638"/>
      <c r="E98" s="638"/>
      <c r="F98" s="640"/>
      <c r="G98" s="638"/>
      <c r="H98" s="638"/>
    </row>
    <row r="99" spans="1:8">
      <c r="A99" s="663"/>
      <c r="B99" s="664"/>
      <c r="C99" s="663"/>
      <c r="D99" s="663"/>
      <c r="E99" s="663"/>
      <c r="F99" s="665"/>
      <c r="G99" s="663"/>
      <c r="H99" s="666" t="s">
        <v>1799</v>
      </c>
    </row>
    <row r="100" spans="1:8">
      <c r="A100" s="663"/>
      <c r="B100" s="667"/>
      <c r="C100" s="663"/>
      <c r="D100" s="663"/>
      <c r="E100" s="663"/>
      <c r="F100" s="665"/>
      <c r="G100" s="663"/>
      <c r="H100" s="665" t="s">
        <v>1801</v>
      </c>
    </row>
    <row r="101" spans="1:8">
      <c r="A101" s="663"/>
      <c r="B101" s="667"/>
      <c r="C101" s="663"/>
      <c r="D101" s="663"/>
      <c r="E101" s="663"/>
      <c r="F101" s="665"/>
      <c r="G101" s="663"/>
      <c r="H101" s="665" t="s">
        <v>1802</v>
      </c>
    </row>
    <row r="102" spans="1:8">
      <c r="A102" s="663"/>
      <c r="B102" s="667"/>
      <c r="C102" s="663"/>
      <c r="D102" s="663"/>
      <c r="E102" s="663"/>
      <c r="F102" s="665"/>
      <c r="G102" s="663"/>
      <c r="H102" s="665" t="s">
        <v>1803</v>
      </c>
    </row>
    <row r="103" spans="1:8">
      <c r="A103" s="663"/>
      <c r="B103" s="667"/>
      <c r="C103" s="663"/>
      <c r="D103" s="663"/>
      <c r="E103" s="663"/>
      <c r="F103" s="665"/>
      <c r="G103" s="663"/>
      <c r="H103" s="663" t="s">
        <v>1805</v>
      </c>
    </row>
    <row r="104" spans="1:8">
      <c r="A104" s="663"/>
      <c r="B104" s="667"/>
      <c r="C104" s="663"/>
      <c r="D104" s="663"/>
      <c r="E104" s="663"/>
      <c r="F104" s="665"/>
      <c r="G104" s="663"/>
      <c r="H104" s="663" t="s">
        <v>651</v>
      </c>
    </row>
    <row r="105" spans="1:8">
      <c r="A105" s="663"/>
      <c r="B105" s="664"/>
      <c r="C105" s="663"/>
      <c r="D105" s="663"/>
      <c r="E105" s="663"/>
      <c r="F105" s="665"/>
      <c r="G105" s="663"/>
      <c r="H105" s="663"/>
    </row>
    <row r="106" spans="1:8" ht="15.75">
      <c r="A106" s="664"/>
      <c r="B106" s="664"/>
      <c r="C106" s="664"/>
      <c r="D106" s="668" t="s">
        <v>2002</v>
      </c>
      <c r="E106" s="663"/>
      <c r="F106" s="665"/>
      <c r="G106" s="663"/>
      <c r="H106" s="663"/>
    </row>
    <row r="107" spans="1:8">
      <c r="A107" s="663"/>
      <c r="B107" s="664"/>
      <c r="C107" s="663"/>
      <c r="D107" s="663"/>
      <c r="E107" s="663"/>
      <c r="F107" s="665"/>
      <c r="G107" s="663"/>
      <c r="H107" s="663"/>
    </row>
    <row r="108" spans="1:8">
      <c r="A108" s="669" t="s">
        <v>1808</v>
      </c>
      <c r="B108" s="669" t="s">
        <v>1809</v>
      </c>
      <c r="C108" s="669" t="s">
        <v>1810</v>
      </c>
      <c r="D108" s="669" t="s">
        <v>1811</v>
      </c>
      <c r="E108" s="669" t="s">
        <v>4877</v>
      </c>
      <c r="F108" s="669" t="s">
        <v>1813</v>
      </c>
      <c r="G108" s="669" t="s">
        <v>1814</v>
      </c>
    </row>
    <row r="109" spans="1:8">
      <c r="A109" s="669">
        <v>1</v>
      </c>
      <c r="B109" s="670" t="s">
        <v>2003</v>
      </c>
      <c r="C109" s="671">
        <v>42384</v>
      </c>
      <c r="D109" s="671">
        <v>42490</v>
      </c>
      <c r="E109" s="669" t="s">
        <v>1822</v>
      </c>
      <c r="F109" s="669" t="s">
        <v>1823</v>
      </c>
      <c r="G109" s="669"/>
    </row>
    <row r="110" spans="1:8" ht="38.25">
      <c r="A110" s="669">
        <v>2</v>
      </c>
      <c r="B110" s="670" t="s">
        <v>2004</v>
      </c>
      <c r="C110" s="671">
        <v>42323</v>
      </c>
      <c r="D110" s="671">
        <v>42359</v>
      </c>
      <c r="E110" s="669" t="s">
        <v>1822</v>
      </c>
      <c r="F110" s="669" t="s">
        <v>1823</v>
      </c>
      <c r="G110" s="669"/>
    </row>
    <row r="111" spans="1:8" ht="25.5">
      <c r="A111" s="669">
        <v>3</v>
      </c>
      <c r="B111" s="670" t="s">
        <v>1831</v>
      </c>
      <c r="C111" s="671">
        <v>42318</v>
      </c>
      <c r="D111" s="671">
        <v>42332</v>
      </c>
      <c r="E111" s="669" t="s">
        <v>1822</v>
      </c>
      <c r="F111" s="669" t="s">
        <v>1823</v>
      </c>
      <c r="G111" s="669"/>
    </row>
    <row r="112" spans="1:8">
      <c r="A112" s="669">
        <v>4</v>
      </c>
      <c r="B112" s="670" t="s">
        <v>1832</v>
      </c>
      <c r="C112" s="671">
        <v>42323</v>
      </c>
      <c r="D112" s="671">
        <v>42359</v>
      </c>
      <c r="E112" s="669" t="s">
        <v>1822</v>
      </c>
      <c r="F112" s="669" t="s">
        <v>1823</v>
      </c>
      <c r="G112" s="669"/>
    </row>
    <row r="113" spans="1:7" ht="25.5">
      <c r="A113" s="669">
        <v>5</v>
      </c>
      <c r="B113" s="670" t="s">
        <v>2005</v>
      </c>
      <c r="C113" s="671">
        <v>42323</v>
      </c>
      <c r="D113" s="671">
        <v>42359</v>
      </c>
      <c r="E113" s="669"/>
      <c r="F113" s="669" t="s">
        <v>1823</v>
      </c>
      <c r="G113" s="669"/>
    </row>
    <row r="114" spans="1:7">
      <c r="A114" s="669">
        <v>6</v>
      </c>
      <c r="B114" s="670" t="s">
        <v>1835</v>
      </c>
      <c r="C114" s="671">
        <v>42333</v>
      </c>
      <c r="D114" s="671">
        <v>42363</v>
      </c>
      <c r="E114" s="669" t="s">
        <v>1822</v>
      </c>
      <c r="F114" s="669" t="s">
        <v>1823</v>
      </c>
      <c r="G114" s="669"/>
    </row>
    <row r="115" spans="1:7" ht="51">
      <c r="A115" s="669">
        <v>7</v>
      </c>
      <c r="B115" s="670" t="s">
        <v>1834</v>
      </c>
      <c r="C115" s="671">
        <v>42401</v>
      </c>
      <c r="D115" s="671">
        <v>42459</v>
      </c>
      <c r="E115" s="669" t="s">
        <v>1822</v>
      </c>
      <c r="F115" s="669" t="s">
        <v>1823</v>
      </c>
      <c r="G115" s="669"/>
    </row>
    <row r="116" spans="1:7" ht="25.5">
      <c r="A116" s="669">
        <v>8</v>
      </c>
      <c r="B116" s="670" t="s">
        <v>1840</v>
      </c>
      <c r="C116" s="671">
        <v>42401</v>
      </c>
      <c r="D116" s="671">
        <v>42490</v>
      </c>
      <c r="E116" s="669" t="s">
        <v>1822</v>
      </c>
      <c r="F116" s="669" t="s">
        <v>1823</v>
      </c>
      <c r="G116" s="669"/>
    </row>
    <row r="117" spans="1:7" ht="25.5">
      <c r="A117" s="669">
        <v>9</v>
      </c>
      <c r="B117" s="670" t="s">
        <v>1836</v>
      </c>
      <c r="C117" s="671">
        <v>42384</v>
      </c>
      <c r="D117" s="671">
        <v>42490</v>
      </c>
      <c r="E117" s="669" t="s">
        <v>1822</v>
      </c>
      <c r="F117" s="669" t="s">
        <v>1823</v>
      </c>
      <c r="G117" s="669"/>
    </row>
    <row r="118" spans="1:7">
      <c r="A118" s="669">
        <v>10</v>
      </c>
      <c r="B118" s="670" t="s">
        <v>1837</v>
      </c>
      <c r="C118" s="671">
        <v>42475</v>
      </c>
      <c r="D118" s="671">
        <v>42505</v>
      </c>
      <c r="E118" s="669" t="s">
        <v>1822</v>
      </c>
      <c r="F118" s="669" t="s">
        <v>1823</v>
      </c>
      <c r="G118" s="669"/>
    </row>
    <row r="119" spans="1:7">
      <c r="A119" s="669">
        <v>11</v>
      </c>
      <c r="B119" s="670" t="s">
        <v>1838</v>
      </c>
      <c r="C119" s="671">
        <v>42527</v>
      </c>
      <c r="D119" s="671">
        <v>42529</v>
      </c>
      <c r="E119" s="669" t="s">
        <v>1822</v>
      </c>
      <c r="F119" s="669" t="s">
        <v>1823</v>
      </c>
      <c r="G119" s="669"/>
    </row>
    <row r="120" spans="1:7">
      <c r="A120" s="672"/>
      <c r="B120" s="673"/>
      <c r="C120" s="674"/>
      <c r="D120" s="674"/>
      <c r="E120" s="675"/>
      <c r="F120" s="675"/>
      <c r="G120" s="676"/>
    </row>
    <row r="121" spans="1:7" ht="25.5">
      <c r="A121" s="669">
        <v>12</v>
      </c>
      <c r="B121" s="670" t="s">
        <v>2006</v>
      </c>
      <c r="C121" s="671">
        <v>42360</v>
      </c>
      <c r="D121" s="671">
        <v>42383</v>
      </c>
      <c r="E121" s="669" t="s">
        <v>1845</v>
      </c>
      <c r="F121" s="669" t="s">
        <v>1846</v>
      </c>
      <c r="G121" s="669"/>
    </row>
    <row r="122" spans="1:7" ht="38.25">
      <c r="A122" s="669">
        <v>13</v>
      </c>
      <c r="B122" s="670" t="s">
        <v>2007</v>
      </c>
      <c r="C122" s="671">
        <v>42386</v>
      </c>
      <c r="D122" s="671">
        <v>42393</v>
      </c>
      <c r="E122" s="669" t="s">
        <v>1845</v>
      </c>
      <c r="F122" s="669" t="s">
        <v>1846</v>
      </c>
      <c r="G122" s="669"/>
    </row>
    <row r="123" spans="1:7">
      <c r="A123" s="669">
        <v>14</v>
      </c>
      <c r="B123" s="670" t="s">
        <v>2008</v>
      </c>
      <c r="C123" s="671">
        <v>42394</v>
      </c>
      <c r="D123" s="671">
        <v>42397</v>
      </c>
      <c r="E123" s="669" t="s">
        <v>1845</v>
      </c>
      <c r="F123" s="669" t="s">
        <v>1846</v>
      </c>
      <c r="G123" s="669"/>
    </row>
    <row r="124" spans="1:7">
      <c r="A124" s="669">
        <v>15</v>
      </c>
      <c r="B124" s="670" t="s">
        <v>2009</v>
      </c>
      <c r="C124" s="671">
        <v>42400</v>
      </c>
      <c r="D124" s="671">
        <v>42401</v>
      </c>
      <c r="E124" s="669" t="s">
        <v>1845</v>
      </c>
      <c r="F124" s="669" t="s">
        <v>1846</v>
      </c>
      <c r="G124" s="669"/>
    </row>
    <row r="125" spans="1:7" ht="25.5">
      <c r="A125" s="669">
        <v>16</v>
      </c>
      <c r="B125" s="670" t="s">
        <v>2010</v>
      </c>
      <c r="C125" s="671">
        <v>42402</v>
      </c>
      <c r="D125" s="671">
        <v>42431</v>
      </c>
      <c r="E125" s="669" t="s">
        <v>1845</v>
      </c>
      <c r="F125" s="669" t="s">
        <v>1846</v>
      </c>
      <c r="G125" s="669"/>
    </row>
    <row r="126" spans="1:7">
      <c r="A126" s="669">
        <v>17</v>
      </c>
      <c r="B126" s="670" t="s">
        <v>626</v>
      </c>
      <c r="C126" s="671">
        <v>42338</v>
      </c>
      <c r="D126" s="671">
        <v>42344</v>
      </c>
      <c r="E126" s="669" t="s">
        <v>1845</v>
      </c>
      <c r="F126" s="669" t="s">
        <v>629</v>
      </c>
      <c r="G126" s="669"/>
    </row>
    <row r="127" spans="1:7">
      <c r="A127" s="669">
        <v>18</v>
      </c>
      <c r="B127" s="670" t="s">
        <v>2011</v>
      </c>
      <c r="C127" s="671">
        <v>42360</v>
      </c>
      <c r="D127" s="671">
        <v>42367</v>
      </c>
      <c r="E127" s="669" t="s">
        <v>1845</v>
      </c>
      <c r="F127" s="669" t="s">
        <v>629</v>
      </c>
      <c r="G127" s="669"/>
    </row>
    <row r="128" spans="1:7" ht="25.5">
      <c r="A128" s="669">
        <v>19</v>
      </c>
      <c r="B128" s="670" t="s">
        <v>2012</v>
      </c>
      <c r="C128" s="671">
        <v>42373</v>
      </c>
      <c r="D128" s="671">
        <v>42375</v>
      </c>
      <c r="E128" s="669" t="s">
        <v>1845</v>
      </c>
      <c r="F128" s="669" t="s">
        <v>629</v>
      </c>
      <c r="G128" s="669"/>
    </row>
    <row r="129" spans="1:7" ht="25.5">
      <c r="A129" s="669">
        <v>20</v>
      </c>
      <c r="B129" s="670" t="s">
        <v>2013</v>
      </c>
      <c r="C129" s="671">
        <v>42376</v>
      </c>
      <c r="D129" s="671">
        <v>42380</v>
      </c>
      <c r="E129" s="669" t="s">
        <v>1845</v>
      </c>
      <c r="F129" s="669" t="s">
        <v>1846</v>
      </c>
      <c r="G129" s="669"/>
    </row>
    <row r="130" spans="1:7" ht="39">
      <c r="A130" s="669">
        <v>21</v>
      </c>
      <c r="B130" s="677" t="s">
        <v>2014</v>
      </c>
      <c r="C130" s="671">
        <v>42381</v>
      </c>
      <c r="D130" s="671">
        <v>42381</v>
      </c>
      <c r="E130" s="669" t="s">
        <v>1845</v>
      </c>
      <c r="F130" s="669" t="s">
        <v>1846</v>
      </c>
      <c r="G130" s="669"/>
    </row>
    <row r="131" spans="1:7" ht="25.5">
      <c r="A131" s="669">
        <v>22</v>
      </c>
      <c r="B131" s="670" t="s">
        <v>2015</v>
      </c>
      <c r="C131" s="671">
        <v>42432</v>
      </c>
      <c r="D131" s="671">
        <v>42493</v>
      </c>
      <c r="E131" s="669" t="s">
        <v>1845</v>
      </c>
      <c r="F131" s="669" t="s">
        <v>1846</v>
      </c>
      <c r="G131" s="669"/>
    </row>
    <row r="132" spans="1:7">
      <c r="A132" s="675"/>
      <c r="B132" s="673"/>
      <c r="C132" s="674"/>
      <c r="D132" s="674"/>
      <c r="E132" s="675"/>
      <c r="F132" s="675"/>
      <c r="G132" s="675"/>
    </row>
    <row r="133" spans="1:7" ht="25.5">
      <c r="A133" s="669">
        <v>23</v>
      </c>
      <c r="B133" s="670" t="s">
        <v>2016</v>
      </c>
      <c r="C133" s="671">
        <v>42430</v>
      </c>
      <c r="D133" s="671">
        <v>42490</v>
      </c>
      <c r="E133" s="669" t="s">
        <v>1845</v>
      </c>
      <c r="F133" s="669" t="s">
        <v>629</v>
      </c>
      <c r="G133" s="669"/>
    </row>
    <row r="134" spans="1:7" ht="25.5">
      <c r="A134" s="669">
        <v>24</v>
      </c>
      <c r="B134" s="670" t="s">
        <v>631</v>
      </c>
      <c r="C134" s="671">
        <v>42461</v>
      </c>
      <c r="D134" s="671">
        <v>42490</v>
      </c>
      <c r="E134" s="669" t="s">
        <v>1845</v>
      </c>
      <c r="F134" s="669" t="s">
        <v>629</v>
      </c>
      <c r="G134" s="669"/>
    </row>
    <row r="135" spans="1:7">
      <c r="A135" s="669">
        <v>25</v>
      </c>
      <c r="B135" s="670" t="s">
        <v>2017</v>
      </c>
      <c r="C135" s="671">
        <v>42461</v>
      </c>
      <c r="D135" s="671">
        <v>42490</v>
      </c>
      <c r="E135" s="669" t="s">
        <v>1845</v>
      </c>
      <c r="F135" s="669" t="s">
        <v>629</v>
      </c>
      <c r="G135" s="669"/>
    </row>
    <row r="136" spans="1:7" ht="25.5">
      <c r="A136" s="669">
        <v>26</v>
      </c>
      <c r="B136" s="670" t="s">
        <v>2018</v>
      </c>
      <c r="C136" s="671">
        <v>42461</v>
      </c>
      <c r="D136" s="671">
        <v>42490</v>
      </c>
      <c r="E136" s="669" t="s">
        <v>1845</v>
      </c>
      <c r="F136" s="669" t="s">
        <v>629</v>
      </c>
      <c r="G136" s="669"/>
    </row>
    <row r="137" spans="1:7" ht="38.25">
      <c r="A137" s="669" t="s">
        <v>2019</v>
      </c>
      <c r="B137" s="670" t="s">
        <v>4168</v>
      </c>
      <c r="C137" s="671">
        <v>42493</v>
      </c>
      <c r="D137" s="671">
        <v>42494</v>
      </c>
      <c r="E137" s="669" t="s">
        <v>1845</v>
      </c>
      <c r="F137" s="669" t="s">
        <v>1846</v>
      </c>
      <c r="G137" s="669"/>
    </row>
    <row r="138" spans="1:7">
      <c r="A138" s="669">
        <v>27</v>
      </c>
      <c r="B138" s="670" t="s">
        <v>4169</v>
      </c>
      <c r="C138" s="671">
        <v>42494</v>
      </c>
      <c r="D138" s="671">
        <v>42494</v>
      </c>
      <c r="E138" s="669" t="s">
        <v>1845</v>
      </c>
      <c r="F138" s="669" t="s">
        <v>629</v>
      </c>
      <c r="G138" s="669"/>
    </row>
    <row r="139" spans="1:7" ht="38.25">
      <c r="A139" s="669">
        <v>28</v>
      </c>
      <c r="B139" s="670" t="s">
        <v>4170</v>
      </c>
      <c r="C139" s="671">
        <v>42494</v>
      </c>
      <c r="D139" s="671">
        <v>42494</v>
      </c>
      <c r="E139" s="669" t="s">
        <v>1845</v>
      </c>
      <c r="F139" s="669" t="s">
        <v>629</v>
      </c>
      <c r="G139" s="669"/>
    </row>
    <row r="140" spans="1:7">
      <c r="A140" s="669">
        <v>29</v>
      </c>
      <c r="B140" s="670" t="s">
        <v>4171</v>
      </c>
      <c r="C140" s="671">
        <v>42494</v>
      </c>
      <c r="D140" s="671">
        <v>42494</v>
      </c>
      <c r="E140" s="669" t="s">
        <v>1845</v>
      </c>
      <c r="F140" s="669" t="s">
        <v>629</v>
      </c>
      <c r="G140" s="669"/>
    </row>
    <row r="141" spans="1:7">
      <c r="A141" s="669">
        <v>30</v>
      </c>
      <c r="B141" s="670" t="s">
        <v>4172</v>
      </c>
      <c r="C141" s="671">
        <v>42500</v>
      </c>
      <c r="D141" s="671">
        <v>42502</v>
      </c>
      <c r="E141" s="669" t="s">
        <v>1845</v>
      </c>
      <c r="F141" s="669" t="s">
        <v>629</v>
      </c>
      <c r="G141" s="669"/>
    </row>
    <row r="142" spans="1:7">
      <c r="A142" s="669">
        <v>31</v>
      </c>
      <c r="B142" s="670" t="s">
        <v>4173</v>
      </c>
      <c r="C142" s="671">
        <v>42500</v>
      </c>
      <c r="D142" s="671">
        <v>42506</v>
      </c>
      <c r="E142" s="669" t="s">
        <v>1845</v>
      </c>
      <c r="F142" s="669" t="s">
        <v>629</v>
      </c>
      <c r="G142" s="669"/>
    </row>
    <row r="143" spans="1:7">
      <c r="A143" s="669">
        <v>32</v>
      </c>
      <c r="B143" s="670" t="s">
        <v>4174</v>
      </c>
      <c r="C143" s="671">
        <v>42500</v>
      </c>
      <c r="D143" s="671">
        <v>42502</v>
      </c>
      <c r="E143" s="669" t="s">
        <v>1845</v>
      </c>
      <c r="F143" s="669" t="s">
        <v>629</v>
      </c>
      <c r="G143" s="669"/>
    </row>
    <row r="144" spans="1:7">
      <c r="A144" s="669">
        <v>33</v>
      </c>
      <c r="B144" s="670" t="s">
        <v>4175</v>
      </c>
      <c r="C144" s="671">
        <v>42505</v>
      </c>
      <c r="D144" s="671">
        <v>42506</v>
      </c>
      <c r="E144" s="669" t="s">
        <v>1845</v>
      </c>
      <c r="F144" s="669" t="s">
        <v>629</v>
      </c>
      <c r="G144" s="669"/>
    </row>
    <row r="145" spans="1:7" ht="38.25">
      <c r="A145" s="669">
        <v>34</v>
      </c>
      <c r="B145" s="670" t="s">
        <v>4176</v>
      </c>
      <c r="C145" s="671">
        <v>42505</v>
      </c>
      <c r="D145" s="671">
        <v>42506</v>
      </c>
      <c r="E145" s="669" t="s">
        <v>1845</v>
      </c>
      <c r="F145" s="669" t="s">
        <v>629</v>
      </c>
      <c r="G145" s="669"/>
    </row>
    <row r="146" spans="1:7" ht="25.5">
      <c r="A146" s="669">
        <v>35</v>
      </c>
      <c r="B146" s="670" t="s">
        <v>635</v>
      </c>
      <c r="C146" s="671">
        <v>42505</v>
      </c>
      <c r="D146" s="671">
        <v>42509</v>
      </c>
      <c r="E146" s="669" t="s">
        <v>1845</v>
      </c>
      <c r="F146" s="669" t="s">
        <v>629</v>
      </c>
      <c r="G146" s="669"/>
    </row>
    <row r="147" spans="1:7">
      <c r="A147" s="669">
        <v>36</v>
      </c>
      <c r="B147" s="670" t="s">
        <v>4177</v>
      </c>
      <c r="C147" s="671">
        <v>42505</v>
      </c>
      <c r="D147" s="671">
        <v>42506</v>
      </c>
      <c r="E147" s="669" t="s">
        <v>1845</v>
      </c>
      <c r="F147" s="669" t="s">
        <v>629</v>
      </c>
      <c r="G147" s="669"/>
    </row>
    <row r="148" spans="1:7" ht="25.5">
      <c r="A148" s="669">
        <v>37</v>
      </c>
      <c r="B148" s="670" t="s">
        <v>4178</v>
      </c>
      <c r="C148" s="671">
        <v>42512</v>
      </c>
      <c r="D148" s="671">
        <v>42523</v>
      </c>
      <c r="E148" s="669" t="s">
        <v>1845</v>
      </c>
      <c r="F148" s="669" t="s">
        <v>629</v>
      </c>
      <c r="G148" s="669"/>
    </row>
    <row r="149" spans="1:7" ht="39">
      <c r="A149" s="669">
        <v>38</v>
      </c>
      <c r="B149" s="677" t="s">
        <v>4179</v>
      </c>
      <c r="C149" s="671">
        <v>42512</v>
      </c>
      <c r="D149" s="671">
        <v>42516</v>
      </c>
      <c r="E149" s="669" t="s">
        <v>1845</v>
      </c>
      <c r="F149" s="669" t="s">
        <v>629</v>
      </c>
      <c r="G149" s="669"/>
    </row>
    <row r="150" spans="1:7" ht="26.25">
      <c r="A150" s="669">
        <v>39</v>
      </c>
      <c r="B150" s="677" t="s">
        <v>4180</v>
      </c>
      <c r="C150" s="671">
        <v>42494</v>
      </c>
      <c r="D150" s="671">
        <v>42494</v>
      </c>
      <c r="E150" s="669" t="s">
        <v>1845</v>
      </c>
      <c r="F150" s="669" t="s">
        <v>1846</v>
      </c>
      <c r="G150" s="669"/>
    </row>
    <row r="151" spans="1:7" ht="26.25">
      <c r="A151" s="669">
        <v>40</v>
      </c>
      <c r="B151" s="677" t="s">
        <v>4181</v>
      </c>
      <c r="C151" s="671">
        <v>42495</v>
      </c>
      <c r="D151" s="671">
        <v>42495</v>
      </c>
      <c r="E151" s="669" t="s">
        <v>1845</v>
      </c>
      <c r="F151" s="669" t="s">
        <v>1846</v>
      </c>
      <c r="G151" s="669"/>
    </row>
    <row r="152" spans="1:7" ht="26.25">
      <c r="A152" s="669">
        <v>41</v>
      </c>
      <c r="B152" s="677" t="s">
        <v>3578</v>
      </c>
      <c r="C152" s="671">
        <v>42496</v>
      </c>
      <c r="D152" s="671">
        <v>42505</v>
      </c>
      <c r="E152" s="669" t="s">
        <v>1845</v>
      </c>
      <c r="F152" s="669" t="s">
        <v>1846</v>
      </c>
      <c r="G152" s="669"/>
    </row>
    <row r="153" spans="1:7" ht="39">
      <c r="A153" s="669">
        <v>42</v>
      </c>
      <c r="B153" s="677" t="s">
        <v>3579</v>
      </c>
      <c r="C153" s="671">
        <v>42506</v>
      </c>
      <c r="D153" s="671">
        <v>42508</v>
      </c>
      <c r="E153" s="669" t="s">
        <v>1845</v>
      </c>
      <c r="F153" s="669" t="s">
        <v>1846</v>
      </c>
      <c r="G153" s="669"/>
    </row>
    <row r="154" spans="1:7" ht="26.25">
      <c r="A154" s="669">
        <v>43</v>
      </c>
      <c r="B154" s="677" t="s">
        <v>3580</v>
      </c>
      <c r="C154" s="671">
        <v>42519</v>
      </c>
      <c r="D154" s="671">
        <v>42523</v>
      </c>
      <c r="E154" s="669" t="s">
        <v>1845</v>
      </c>
      <c r="F154" s="669" t="s">
        <v>1846</v>
      </c>
      <c r="G154" s="669"/>
    </row>
    <row r="155" spans="1:7" ht="26.25">
      <c r="A155" s="669">
        <v>44</v>
      </c>
      <c r="B155" s="677" t="s">
        <v>624</v>
      </c>
      <c r="C155" s="671">
        <v>42530</v>
      </c>
      <c r="D155" s="671">
        <v>42536</v>
      </c>
      <c r="E155" s="669" t="s">
        <v>1845</v>
      </c>
      <c r="F155" s="669" t="s">
        <v>1846</v>
      </c>
      <c r="G155" s="669"/>
    </row>
    <row r="156" spans="1:7">
      <c r="A156" s="669">
        <v>45</v>
      </c>
      <c r="B156" s="677" t="s">
        <v>3581</v>
      </c>
      <c r="C156" s="671">
        <v>42505</v>
      </c>
      <c r="D156" s="671">
        <v>42509</v>
      </c>
      <c r="E156" s="669" t="s">
        <v>1845</v>
      </c>
      <c r="F156" s="678" t="s">
        <v>639</v>
      </c>
      <c r="G156" s="669"/>
    </row>
    <row r="157" spans="1:7">
      <c r="A157" s="669">
        <v>46</v>
      </c>
      <c r="B157" s="677" t="s">
        <v>3582</v>
      </c>
      <c r="C157" s="671">
        <v>42535</v>
      </c>
      <c r="D157" s="671">
        <v>42541</v>
      </c>
      <c r="E157" s="669" t="s">
        <v>1845</v>
      </c>
      <c r="F157" s="678" t="s">
        <v>639</v>
      </c>
      <c r="G157" s="669"/>
    </row>
    <row r="158" spans="1:7">
      <c r="A158" s="669">
        <v>47</v>
      </c>
      <c r="B158" s="670" t="s">
        <v>4169</v>
      </c>
      <c r="C158" s="671">
        <v>42540</v>
      </c>
      <c r="D158" s="671">
        <v>42544</v>
      </c>
      <c r="E158" s="669" t="s">
        <v>1845</v>
      </c>
      <c r="F158" s="678" t="s">
        <v>639</v>
      </c>
      <c r="G158" s="669"/>
    </row>
    <row r="159" spans="1:7">
      <c r="A159" s="669">
        <v>48</v>
      </c>
      <c r="B159" s="670" t="s">
        <v>3583</v>
      </c>
      <c r="C159" s="671">
        <v>42543</v>
      </c>
      <c r="D159" s="671">
        <v>42543</v>
      </c>
      <c r="E159" s="669" t="s">
        <v>1845</v>
      </c>
      <c r="F159" s="669" t="s">
        <v>639</v>
      </c>
      <c r="G159" s="669"/>
    </row>
    <row r="160" spans="1:7" ht="38.25">
      <c r="A160" s="669" t="s">
        <v>3584</v>
      </c>
      <c r="B160" s="670" t="s">
        <v>3585</v>
      </c>
      <c r="C160" s="671">
        <v>42543</v>
      </c>
      <c r="D160" s="671">
        <v>42544</v>
      </c>
      <c r="E160" s="669" t="s">
        <v>1845</v>
      </c>
      <c r="F160" s="669" t="s">
        <v>1846</v>
      </c>
      <c r="G160" s="669"/>
    </row>
    <row r="161" spans="1:7" ht="64.5">
      <c r="A161" s="669" t="s">
        <v>3586</v>
      </c>
      <c r="B161" s="677" t="s">
        <v>3587</v>
      </c>
      <c r="C161" s="671">
        <v>42544</v>
      </c>
      <c r="D161" s="671">
        <v>42544</v>
      </c>
      <c r="E161" s="669" t="s">
        <v>1845</v>
      </c>
      <c r="F161" s="678" t="s">
        <v>639</v>
      </c>
      <c r="G161" s="669"/>
    </row>
    <row r="162" spans="1:7">
      <c r="A162" s="669">
        <v>50</v>
      </c>
      <c r="B162" s="677" t="s">
        <v>3588</v>
      </c>
      <c r="C162" s="671">
        <v>42544</v>
      </c>
      <c r="D162" s="671">
        <v>42544</v>
      </c>
      <c r="E162" s="678" t="s">
        <v>3589</v>
      </c>
      <c r="F162" s="678" t="s">
        <v>639</v>
      </c>
      <c r="G162" s="669"/>
    </row>
    <row r="163" spans="1:7" ht="26.25">
      <c r="A163" s="669">
        <v>51</v>
      </c>
      <c r="B163" s="677" t="s">
        <v>3590</v>
      </c>
      <c r="C163" s="671">
        <v>42547</v>
      </c>
      <c r="D163" s="671">
        <v>42549</v>
      </c>
      <c r="E163" s="669" t="s">
        <v>1845</v>
      </c>
      <c r="F163" s="669" t="s">
        <v>639</v>
      </c>
      <c r="G163" s="669"/>
    </row>
    <row r="164" spans="1:7" ht="26.25">
      <c r="A164" s="669">
        <v>52</v>
      </c>
      <c r="B164" s="677" t="s">
        <v>645</v>
      </c>
      <c r="C164" s="671" t="s">
        <v>3591</v>
      </c>
      <c r="D164" s="671">
        <v>42551</v>
      </c>
      <c r="E164" s="669" t="s">
        <v>1845</v>
      </c>
      <c r="F164" s="669" t="s">
        <v>639</v>
      </c>
      <c r="G164" s="678"/>
    </row>
    <row r="165" spans="1:7">
      <c r="A165" s="664"/>
      <c r="B165" s="664"/>
      <c r="C165" s="664"/>
      <c r="D165" s="664"/>
      <c r="E165" s="664"/>
      <c r="F165" s="664"/>
      <c r="G165" s="664"/>
    </row>
    <row r="166" spans="1:7">
      <c r="A166" s="663"/>
      <c r="B166" s="679" t="s">
        <v>646</v>
      </c>
      <c r="C166" s="663"/>
      <c r="D166" s="663"/>
      <c r="E166" s="663"/>
      <c r="F166" s="663"/>
      <c r="G166" s="663"/>
    </row>
    <row r="167" spans="1:7">
      <c r="A167" s="663"/>
      <c r="B167" s="664"/>
      <c r="C167" s="663"/>
      <c r="D167" s="663"/>
      <c r="E167" s="663"/>
      <c r="F167" s="663"/>
      <c r="G167" s="663"/>
    </row>
    <row r="168" spans="1:7">
      <c r="A168" s="663"/>
      <c r="B168" s="664" t="s">
        <v>4908</v>
      </c>
      <c r="C168" s="663"/>
      <c r="D168" s="663"/>
      <c r="E168" s="663"/>
      <c r="F168" s="665" t="s">
        <v>647</v>
      </c>
      <c r="G168" s="663"/>
    </row>
    <row r="169" spans="1:7">
      <c r="A169" s="663"/>
      <c r="B169" s="664"/>
      <c r="C169" s="663"/>
      <c r="D169" s="663"/>
      <c r="E169" s="663"/>
      <c r="F169" s="665"/>
      <c r="G169" s="663"/>
    </row>
    <row r="170" spans="1:7">
      <c r="A170" s="663"/>
      <c r="B170" s="664" t="s">
        <v>3592</v>
      </c>
      <c r="C170" s="663"/>
      <c r="D170" s="663"/>
      <c r="E170" s="663"/>
      <c r="F170" s="665" t="s">
        <v>3593</v>
      </c>
      <c r="G170" s="663"/>
    </row>
    <row r="171" spans="1:7">
      <c r="A171" s="663"/>
      <c r="B171" s="664"/>
      <c r="C171" s="663"/>
      <c r="D171" s="663"/>
      <c r="E171" s="663"/>
      <c r="F171" s="665"/>
      <c r="G171" s="663"/>
    </row>
    <row r="172" spans="1:7">
      <c r="A172" s="663"/>
      <c r="B172" s="664" t="s">
        <v>648</v>
      </c>
      <c r="C172" s="663"/>
      <c r="D172" s="663"/>
      <c r="E172" s="663"/>
      <c r="F172" s="665" t="s">
        <v>649</v>
      </c>
      <c r="G172" s="663"/>
    </row>
    <row r="173" spans="1:7">
      <c r="A173" s="663"/>
      <c r="B173" s="664"/>
      <c r="C173" s="663"/>
      <c r="D173" s="663"/>
      <c r="E173" s="663"/>
      <c r="F173" s="665"/>
      <c r="G173" s="663"/>
    </row>
    <row r="174" spans="1:7">
      <c r="A174" s="663"/>
      <c r="B174" s="664" t="s">
        <v>1864</v>
      </c>
      <c r="C174" s="663"/>
      <c r="D174" s="663"/>
      <c r="E174" s="663"/>
      <c r="F174" s="665" t="s">
        <v>650</v>
      </c>
      <c r="G174" s="663"/>
    </row>
    <row r="175" spans="1:7">
      <c r="A175" s="663"/>
      <c r="B175" s="664"/>
      <c r="C175" s="663"/>
      <c r="D175" s="663"/>
      <c r="E175" s="663"/>
      <c r="F175" s="663"/>
      <c r="G175" s="663"/>
    </row>
    <row r="176" spans="1:7">
      <c r="A176" s="663"/>
      <c r="B176" s="664"/>
      <c r="C176" s="663"/>
      <c r="D176" s="663"/>
      <c r="E176" s="663"/>
      <c r="F176" s="663"/>
      <c r="G176" s="663"/>
    </row>
    <row r="177" spans="1:7">
      <c r="A177" s="663"/>
      <c r="B177" s="664"/>
      <c r="C177" s="663"/>
      <c r="D177" s="663"/>
      <c r="E177" s="663"/>
      <c r="F177" s="663"/>
      <c r="G177" s="663"/>
    </row>
    <row r="178" spans="1:7">
      <c r="A178" s="663"/>
      <c r="B178" s="664"/>
      <c r="C178" s="663"/>
      <c r="D178" s="663"/>
      <c r="E178" s="663"/>
      <c r="F178" s="663"/>
      <c r="G178" s="663"/>
    </row>
    <row r="179" spans="1:7">
      <c r="A179" s="663"/>
      <c r="B179" s="664"/>
      <c r="C179" s="663"/>
      <c r="D179" s="663"/>
      <c r="E179" s="663"/>
      <c r="F179" s="663"/>
      <c r="G179" s="663"/>
    </row>
    <row r="180" spans="1:7">
      <c r="A180" s="663"/>
      <c r="B180" s="664"/>
      <c r="C180" s="663"/>
      <c r="D180" s="663"/>
      <c r="E180" s="663"/>
      <c r="F180" s="663"/>
      <c r="G180" s="663"/>
    </row>
    <row r="181" spans="1:7">
      <c r="A181" s="663"/>
      <c r="B181" s="664"/>
      <c r="C181" s="663"/>
      <c r="D181" s="663"/>
      <c r="E181" s="663"/>
      <c r="F181" s="663"/>
      <c r="G181" s="663"/>
    </row>
    <row r="182" spans="1:7">
      <c r="A182" s="663"/>
      <c r="B182" s="664"/>
      <c r="C182" s="663"/>
      <c r="D182" s="663"/>
      <c r="E182" s="663"/>
      <c r="F182" s="663"/>
      <c r="G182" s="663"/>
    </row>
    <row r="183" spans="1:7">
      <c r="A183" s="663"/>
      <c r="B183" s="680"/>
      <c r="C183" s="663"/>
      <c r="D183" s="663"/>
      <c r="E183" s="663"/>
      <c r="F183" s="663"/>
      <c r="G183" s="666" t="s">
        <v>1799</v>
      </c>
    </row>
    <row r="184" spans="1:7">
      <c r="A184" s="663"/>
      <c r="B184" s="667"/>
      <c r="C184" s="663"/>
      <c r="D184" s="663"/>
      <c r="E184" s="663"/>
      <c r="F184" s="663"/>
      <c r="G184" s="665" t="s">
        <v>1801</v>
      </c>
    </row>
    <row r="185" spans="1:7">
      <c r="A185" s="663"/>
      <c r="B185" s="664"/>
      <c r="C185" s="663"/>
      <c r="D185" s="663"/>
      <c r="E185" s="663"/>
      <c r="F185" s="663"/>
      <c r="G185" s="665" t="s">
        <v>1802</v>
      </c>
    </row>
    <row r="186" spans="1:7">
      <c r="A186" s="663"/>
      <c r="B186" s="667"/>
      <c r="C186" s="663"/>
      <c r="D186" s="663"/>
      <c r="E186" s="663"/>
      <c r="F186" s="663"/>
      <c r="G186" s="665" t="s">
        <v>1803</v>
      </c>
    </row>
    <row r="187" spans="1:7">
      <c r="A187" s="663"/>
      <c r="B187" s="667"/>
      <c r="C187" s="663"/>
      <c r="D187" s="663"/>
      <c r="E187" s="663"/>
      <c r="F187" s="663"/>
      <c r="G187" s="663" t="s">
        <v>1805</v>
      </c>
    </row>
    <row r="188" spans="1:7">
      <c r="A188" s="663"/>
      <c r="B188" s="667"/>
      <c r="C188" s="663"/>
      <c r="D188" s="663"/>
      <c r="E188" s="663"/>
      <c r="F188" s="663"/>
      <c r="G188" s="663" t="s">
        <v>651</v>
      </c>
    </row>
    <row r="189" spans="1:7">
      <c r="A189" s="663"/>
      <c r="B189" s="664"/>
      <c r="C189" s="663"/>
      <c r="D189" s="663"/>
      <c r="E189" s="663"/>
      <c r="F189" s="663"/>
      <c r="G189" s="663"/>
    </row>
    <row r="190" spans="1:7" ht="15.75">
      <c r="A190" s="664"/>
      <c r="B190" s="664"/>
      <c r="C190" s="664"/>
      <c r="D190" s="668" t="s">
        <v>3594</v>
      </c>
      <c r="E190" s="663"/>
      <c r="F190" s="663"/>
      <c r="G190" s="663"/>
    </row>
    <row r="191" spans="1:7">
      <c r="A191" s="663"/>
      <c r="B191" s="664"/>
      <c r="C191" s="663"/>
      <c r="D191" s="663"/>
      <c r="E191" s="663"/>
      <c r="F191" s="663"/>
      <c r="G191" s="663"/>
    </row>
    <row r="192" spans="1:7">
      <c r="A192" s="669" t="s">
        <v>1808</v>
      </c>
      <c r="B192" s="669" t="s">
        <v>1809</v>
      </c>
      <c r="C192" s="669" t="s">
        <v>1810</v>
      </c>
      <c r="D192" s="669" t="s">
        <v>1811</v>
      </c>
      <c r="E192" s="669" t="s">
        <v>4877</v>
      </c>
      <c r="F192" s="669" t="s">
        <v>1813</v>
      </c>
      <c r="G192" s="669" t="s">
        <v>1814</v>
      </c>
    </row>
    <row r="193" spans="1:7">
      <c r="A193" s="669">
        <v>1</v>
      </c>
      <c r="B193" s="670" t="s">
        <v>3595</v>
      </c>
      <c r="C193" s="671">
        <v>42384</v>
      </c>
      <c r="D193" s="671">
        <v>42428</v>
      </c>
      <c r="E193" s="669" t="s">
        <v>3596</v>
      </c>
      <c r="F193" s="669" t="s">
        <v>3597</v>
      </c>
      <c r="G193" s="669"/>
    </row>
    <row r="194" spans="1:7">
      <c r="A194" s="669">
        <v>2</v>
      </c>
      <c r="B194" s="670" t="s">
        <v>3598</v>
      </c>
      <c r="C194" s="671">
        <v>42430</v>
      </c>
      <c r="D194" s="671">
        <v>42459</v>
      </c>
      <c r="E194" s="669" t="s">
        <v>3596</v>
      </c>
      <c r="F194" s="669" t="s">
        <v>3597</v>
      </c>
      <c r="G194" s="669"/>
    </row>
    <row r="195" spans="1:7">
      <c r="A195" s="672"/>
      <c r="B195" s="673"/>
      <c r="C195" s="674"/>
      <c r="D195" s="674"/>
      <c r="E195" s="675"/>
      <c r="F195" s="675"/>
      <c r="G195" s="675"/>
    </row>
    <row r="196" spans="1:7" ht="25.5">
      <c r="A196" s="669">
        <v>3</v>
      </c>
      <c r="B196" s="670" t="s">
        <v>3599</v>
      </c>
      <c r="C196" s="671">
        <v>42461</v>
      </c>
      <c r="D196" s="671">
        <v>42522</v>
      </c>
      <c r="E196" s="669" t="s">
        <v>3600</v>
      </c>
      <c r="F196" s="669" t="s">
        <v>1823</v>
      </c>
      <c r="G196" s="669"/>
    </row>
    <row r="197" spans="1:7">
      <c r="A197" s="669">
        <v>4</v>
      </c>
      <c r="B197" s="670" t="s">
        <v>1832</v>
      </c>
      <c r="C197" s="671">
        <v>42461</v>
      </c>
      <c r="D197" s="671">
        <v>42522</v>
      </c>
      <c r="E197" s="669" t="s">
        <v>3600</v>
      </c>
      <c r="F197" s="669" t="s">
        <v>1823</v>
      </c>
      <c r="G197" s="669"/>
    </row>
    <row r="198" spans="1:7" ht="25.5">
      <c r="A198" s="669">
        <v>5</v>
      </c>
      <c r="B198" s="670" t="s">
        <v>3601</v>
      </c>
      <c r="C198" s="671">
        <v>42430</v>
      </c>
      <c r="D198" s="671">
        <v>42522</v>
      </c>
      <c r="E198" s="669" t="s">
        <v>3600</v>
      </c>
      <c r="F198" s="669" t="s">
        <v>1823</v>
      </c>
      <c r="G198" s="669"/>
    </row>
    <row r="199" spans="1:7">
      <c r="A199" s="669">
        <v>6</v>
      </c>
      <c r="B199" s="670" t="s">
        <v>3602</v>
      </c>
      <c r="C199" s="671">
        <v>42461</v>
      </c>
      <c r="D199" s="671">
        <v>42552</v>
      </c>
      <c r="E199" s="669" t="s">
        <v>3600</v>
      </c>
      <c r="F199" s="669" t="s">
        <v>1823</v>
      </c>
      <c r="G199" s="669"/>
    </row>
    <row r="200" spans="1:7">
      <c r="A200" s="669">
        <v>7</v>
      </c>
      <c r="B200" s="670" t="s">
        <v>3603</v>
      </c>
      <c r="C200" s="671">
        <v>42331</v>
      </c>
      <c r="D200" s="671">
        <v>42366</v>
      </c>
      <c r="E200" s="669" t="s">
        <v>3600</v>
      </c>
      <c r="F200" s="669" t="s">
        <v>1823</v>
      </c>
      <c r="G200" s="669"/>
    </row>
    <row r="201" spans="1:7">
      <c r="A201" s="669">
        <v>8</v>
      </c>
      <c r="B201" s="670" t="s">
        <v>3604</v>
      </c>
      <c r="C201" s="671">
        <v>42461</v>
      </c>
      <c r="D201" s="671">
        <v>42552</v>
      </c>
      <c r="E201" s="669" t="s">
        <v>3600</v>
      </c>
      <c r="F201" s="669" t="s">
        <v>1823</v>
      </c>
      <c r="G201" s="669"/>
    </row>
    <row r="202" spans="1:7">
      <c r="A202" s="669">
        <v>9</v>
      </c>
      <c r="B202" s="670" t="s">
        <v>3605</v>
      </c>
      <c r="C202" s="671">
        <v>42461</v>
      </c>
      <c r="D202" s="671">
        <v>42552</v>
      </c>
      <c r="E202" s="669" t="s">
        <v>3600</v>
      </c>
      <c r="F202" s="669" t="s">
        <v>1823</v>
      </c>
      <c r="G202" s="669"/>
    </row>
    <row r="203" spans="1:7" ht="25.5">
      <c r="A203" s="669">
        <v>10</v>
      </c>
      <c r="B203" s="670" t="s">
        <v>3606</v>
      </c>
      <c r="C203" s="671">
        <v>42505</v>
      </c>
      <c r="D203" s="671">
        <v>42566</v>
      </c>
      <c r="E203" s="669" t="s">
        <v>3600</v>
      </c>
      <c r="F203" s="669" t="s">
        <v>1823</v>
      </c>
      <c r="G203" s="669"/>
    </row>
    <row r="204" spans="1:7" ht="38.25">
      <c r="A204" s="669">
        <v>11</v>
      </c>
      <c r="B204" s="670" t="s">
        <v>3607</v>
      </c>
      <c r="C204" s="671">
        <v>42401</v>
      </c>
      <c r="D204" s="671">
        <v>42459</v>
      </c>
      <c r="E204" s="669" t="s">
        <v>3600</v>
      </c>
      <c r="F204" s="669" t="s">
        <v>1823</v>
      </c>
      <c r="G204" s="669"/>
    </row>
    <row r="205" spans="1:7" ht="25.5">
      <c r="A205" s="669">
        <v>12</v>
      </c>
      <c r="B205" s="670" t="s">
        <v>1840</v>
      </c>
      <c r="C205" s="671">
        <v>42401</v>
      </c>
      <c r="D205" s="671">
        <v>42490</v>
      </c>
      <c r="E205" s="669" t="s">
        <v>3600</v>
      </c>
      <c r="F205" s="669" t="s">
        <v>1823</v>
      </c>
      <c r="G205" s="669"/>
    </row>
    <row r="206" spans="1:7">
      <c r="A206" s="669">
        <v>13</v>
      </c>
      <c r="B206" s="670" t="s">
        <v>3608</v>
      </c>
      <c r="C206" s="671">
        <v>42384</v>
      </c>
      <c r="D206" s="671">
        <v>42483</v>
      </c>
      <c r="E206" s="669" t="s">
        <v>3600</v>
      </c>
      <c r="F206" s="669" t="s">
        <v>1823</v>
      </c>
      <c r="G206" s="669"/>
    </row>
    <row r="207" spans="1:7">
      <c r="A207" s="669">
        <v>14</v>
      </c>
      <c r="B207" s="670" t="s">
        <v>3609</v>
      </c>
      <c r="C207" s="671">
        <v>42331</v>
      </c>
      <c r="D207" s="671">
        <v>42483</v>
      </c>
      <c r="E207" s="669" t="s">
        <v>3600</v>
      </c>
      <c r="F207" s="669" t="s">
        <v>1823</v>
      </c>
      <c r="G207" s="669"/>
    </row>
    <row r="208" spans="1:7">
      <c r="A208" s="672"/>
      <c r="B208" s="672"/>
      <c r="C208" s="672"/>
      <c r="D208" s="672"/>
      <c r="E208" s="672"/>
      <c r="F208" s="672"/>
      <c r="G208" s="672"/>
    </row>
    <row r="209" spans="1:7" ht="38.25">
      <c r="A209" s="669">
        <v>15</v>
      </c>
      <c r="B209" s="670" t="s">
        <v>3610</v>
      </c>
      <c r="C209" s="671">
        <v>42420</v>
      </c>
      <c r="D209" s="671">
        <v>42483</v>
      </c>
      <c r="E209" s="669" t="s">
        <v>3600</v>
      </c>
      <c r="F209" s="669" t="s">
        <v>3611</v>
      </c>
      <c r="G209" s="678"/>
    </row>
    <row r="210" spans="1:7" ht="25.5">
      <c r="A210" s="669">
        <v>16</v>
      </c>
      <c r="B210" s="670" t="s">
        <v>3612</v>
      </c>
      <c r="C210" s="671">
        <v>42430</v>
      </c>
      <c r="D210" s="671">
        <v>42459</v>
      </c>
      <c r="E210" s="669" t="s">
        <v>3600</v>
      </c>
      <c r="F210" s="669" t="s">
        <v>3611</v>
      </c>
      <c r="G210" s="678"/>
    </row>
    <row r="211" spans="1:7" ht="63.75">
      <c r="A211" s="669">
        <v>17</v>
      </c>
      <c r="B211" s="670" t="s">
        <v>3613</v>
      </c>
      <c r="C211" s="671">
        <v>42401</v>
      </c>
      <c r="D211" s="671">
        <v>42459</v>
      </c>
      <c r="E211" s="669" t="s">
        <v>3600</v>
      </c>
      <c r="F211" s="669" t="s">
        <v>3611</v>
      </c>
      <c r="G211" s="678"/>
    </row>
    <row r="212" spans="1:7" ht="25.5">
      <c r="A212" s="669">
        <v>18</v>
      </c>
      <c r="B212" s="670" t="s">
        <v>2265</v>
      </c>
      <c r="C212" s="671">
        <v>42493</v>
      </c>
      <c r="D212" s="671">
        <v>42536</v>
      </c>
      <c r="E212" s="669" t="s">
        <v>3600</v>
      </c>
      <c r="F212" s="669" t="s">
        <v>3611</v>
      </c>
      <c r="G212" s="678"/>
    </row>
    <row r="213" spans="1:7">
      <c r="A213" s="672"/>
      <c r="B213" s="681"/>
      <c r="C213" s="682"/>
      <c r="D213" s="682"/>
      <c r="E213" s="672"/>
      <c r="F213" s="672"/>
      <c r="G213" s="676"/>
    </row>
    <row r="214" spans="1:7">
      <c r="A214" s="669">
        <v>19</v>
      </c>
      <c r="B214" s="670" t="s">
        <v>2266</v>
      </c>
      <c r="C214" s="671">
        <v>42526</v>
      </c>
      <c r="D214" s="671">
        <v>42551</v>
      </c>
      <c r="E214" s="669" t="s">
        <v>2267</v>
      </c>
      <c r="F214" s="669" t="s">
        <v>2268</v>
      </c>
      <c r="G214" s="678"/>
    </row>
    <row r="215" spans="1:7">
      <c r="A215" s="672"/>
      <c r="B215" s="673"/>
      <c r="C215" s="674"/>
      <c r="D215" s="674"/>
      <c r="E215" s="675"/>
      <c r="F215" s="675"/>
      <c r="G215" s="676"/>
    </row>
    <row r="216" spans="1:7" ht="25.5">
      <c r="A216" s="669">
        <v>20</v>
      </c>
      <c r="B216" s="670" t="s">
        <v>2269</v>
      </c>
      <c r="C216" s="671">
        <v>42484</v>
      </c>
      <c r="D216" s="671">
        <v>42500</v>
      </c>
      <c r="E216" s="669" t="s">
        <v>2267</v>
      </c>
      <c r="F216" s="669" t="s">
        <v>2270</v>
      </c>
      <c r="G216" s="669"/>
    </row>
    <row r="217" spans="1:7" ht="38.25">
      <c r="A217" s="669">
        <v>21</v>
      </c>
      <c r="B217" s="670" t="s">
        <v>2271</v>
      </c>
      <c r="C217" s="671">
        <v>42501</v>
      </c>
      <c r="D217" s="671">
        <v>42521</v>
      </c>
      <c r="E217" s="669" t="s">
        <v>2267</v>
      </c>
      <c r="F217" s="669" t="s">
        <v>2270</v>
      </c>
      <c r="G217" s="669"/>
    </row>
    <row r="218" spans="1:7" ht="25.5">
      <c r="A218" s="669">
        <v>22</v>
      </c>
      <c r="B218" s="670" t="s">
        <v>2272</v>
      </c>
      <c r="C218" s="671">
        <v>42522</v>
      </c>
      <c r="D218" s="671">
        <v>42530</v>
      </c>
      <c r="E218" s="669" t="s">
        <v>2267</v>
      </c>
      <c r="F218" s="669" t="s">
        <v>2273</v>
      </c>
      <c r="G218" s="678"/>
    </row>
    <row r="219" spans="1:7" ht="25.5">
      <c r="A219" s="669">
        <v>23</v>
      </c>
      <c r="B219" s="670" t="s">
        <v>2274</v>
      </c>
      <c r="C219" s="671">
        <v>42547</v>
      </c>
      <c r="D219" s="671">
        <v>42551</v>
      </c>
      <c r="E219" s="669" t="s">
        <v>2267</v>
      </c>
      <c r="F219" s="669" t="s">
        <v>1846</v>
      </c>
      <c r="G219" s="678"/>
    </row>
    <row r="220" spans="1:7" ht="38.25">
      <c r="A220" s="669">
        <v>24</v>
      </c>
      <c r="B220" s="670" t="s">
        <v>2275</v>
      </c>
      <c r="C220" s="671">
        <v>42554</v>
      </c>
      <c r="D220" s="671">
        <v>42563</v>
      </c>
      <c r="E220" s="669" t="s">
        <v>2267</v>
      </c>
      <c r="F220" s="669" t="s">
        <v>1846</v>
      </c>
      <c r="G220" s="678"/>
    </row>
    <row r="221" spans="1:7" ht="15.75">
      <c r="A221" s="672"/>
      <c r="B221" s="683"/>
      <c r="C221" s="682"/>
      <c r="D221" s="682"/>
      <c r="E221" s="672"/>
      <c r="F221" s="672"/>
      <c r="G221" s="676"/>
    </row>
    <row r="222" spans="1:7" ht="38.25">
      <c r="A222" s="669">
        <v>25</v>
      </c>
      <c r="B222" s="670" t="s">
        <v>2276</v>
      </c>
      <c r="C222" s="671">
        <v>42461</v>
      </c>
      <c r="D222" s="671">
        <v>42505</v>
      </c>
      <c r="E222" s="669" t="s">
        <v>2267</v>
      </c>
      <c r="F222" s="669" t="s">
        <v>2270</v>
      </c>
      <c r="G222" s="669"/>
    </row>
    <row r="223" spans="1:7" ht="25.5">
      <c r="A223" s="669">
        <v>26</v>
      </c>
      <c r="B223" s="670" t="s">
        <v>2277</v>
      </c>
      <c r="C223" s="671">
        <v>42475</v>
      </c>
      <c r="D223" s="671">
        <v>42505</v>
      </c>
      <c r="E223" s="669" t="s">
        <v>2267</v>
      </c>
      <c r="F223" s="669" t="s">
        <v>2270</v>
      </c>
      <c r="G223" s="669"/>
    </row>
    <row r="224" spans="1:7" ht="38.25">
      <c r="A224" s="669">
        <v>27</v>
      </c>
      <c r="B224" s="670" t="s">
        <v>2278</v>
      </c>
      <c r="C224" s="671">
        <v>42491</v>
      </c>
      <c r="D224" s="671">
        <v>42505</v>
      </c>
      <c r="E224" s="669" t="s">
        <v>2267</v>
      </c>
      <c r="F224" s="669" t="s">
        <v>2270</v>
      </c>
      <c r="G224" s="669"/>
    </row>
    <row r="225" spans="1:7">
      <c r="A225" s="669">
        <v>28</v>
      </c>
      <c r="B225" s="670" t="s">
        <v>2279</v>
      </c>
      <c r="C225" s="671">
        <v>42505</v>
      </c>
      <c r="D225" s="671">
        <v>42505</v>
      </c>
      <c r="E225" s="669" t="s">
        <v>2267</v>
      </c>
      <c r="F225" s="669" t="s">
        <v>2270</v>
      </c>
      <c r="G225" s="669"/>
    </row>
    <row r="226" spans="1:7" ht="25.5">
      <c r="A226" s="669">
        <v>29</v>
      </c>
      <c r="B226" s="670" t="s">
        <v>2280</v>
      </c>
      <c r="C226" s="671">
        <v>42506</v>
      </c>
      <c r="D226" s="671">
        <v>42506</v>
      </c>
      <c r="E226" s="669" t="s">
        <v>2267</v>
      </c>
      <c r="F226" s="669" t="s">
        <v>2270</v>
      </c>
      <c r="G226" s="669"/>
    </row>
    <row r="227" spans="1:7" ht="25.5">
      <c r="A227" s="669">
        <v>30</v>
      </c>
      <c r="B227" s="670" t="s">
        <v>2281</v>
      </c>
      <c r="C227" s="671">
        <v>42506</v>
      </c>
      <c r="D227" s="671">
        <v>42512</v>
      </c>
      <c r="E227" s="669" t="s">
        <v>2267</v>
      </c>
      <c r="F227" s="669" t="s">
        <v>2270</v>
      </c>
      <c r="G227" s="669"/>
    </row>
    <row r="228" spans="1:7">
      <c r="A228" s="669">
        <v>31</v>
      </c>
      <c r="B228" s="670" t="s">
        <v>2282</v>
      </c>
      <c r="C228" s="671">
        <v>42507</v>
      </c>
      <c r="D228" s="671">
        <v>42507</v>
      </c>
      <c r="E228" s="669" t="s">
        <v>2267</v>
      </c>
      <c r="F228" s="669" t="s">
        <v>2270</v>
      </c>
      <c r="G228" s="669"/>
    </row>
    <row r="229" spans="1:7" ht="25.5">
      <c r="A229" s="669">
        <v>32</v>
      </c>
      <c r="B229" s="670" t="s">
        <v>2283</v>
      </c>
      <c r="C229" s="671">
        <v>42513</v>
      </c>
      <c r="D229" s="671">
        <v>42551</v>
      </c>
      <c r="E229" s="669" t="s">
        <v>2267</v>
      </c>
      <c r="F229" s="669" t="s">
        <v>2270</v>
      </c>
      <c r="G229" s="669"/>
    </row>
    <row r="230" spans="1:7" ht="38.25">
      <c r="A230" s="669">
        <v>33</v>
      </c>
      <c r="B230" s="670" t="s">
        <v>2284</v>
      </c>
      <c r="C230" s="671">
        <v>42554</v>
      </c>
      <c r="D230" s="671">
        <v>42556</v>
      </c>
      <c r="E230" s="669" t="s">
        <v>2267</v>
      </c>
      <c r="F230" s="669" t="s">
        <v>2270</v>
      </c>
      <c r="G230" s="669"/>
    </row>
    <row r="231" spans="1:7" ht="15.75">
      <c r="A231" s="672"/>
      <c r="B231" s="683"/>
      <c r="C231" s="682"/>
      <c r="D231" s="682"/>
      <c r="E231" s="672"/>
      <c r="F231" s="672"/>
      <c r="G231" s="676"/>
    </row>
    <row r="232" spans="1:7" ht="25.5">
      <c r="A232" s="669">
        <v>34</v>
      </c>
      <c r="B232" s="670" t="s">
        <v>2285</v>
      </c>
      <c r="C232" s="671">
        <v>42541</v>
      </c>
      <c r="D232" s="671">
        <v>42547</v>
      </c>
      <c r="E232" s="669" t="s">
        <v>2267</v>
      </c>
      <c r="F232" s="669" t="s">
        <v>629</v>
      </c>
      <c r="G232" s="678"/>
    </row>
    <row r="233" spans="1:7" ht="25.5">
      <c r="A233" s="669">
        <v>35</v>
      </c>
      <c r="B233" s="670" t="s">
        <v>2286</v>
      </c>
      <c r="C233" s="671">
        <v>42548</v>
      </c>
      <c r="D233" s="671">
        <v>42554</v>
      </c>
      <c r="E233" s="669" t="s">
        <v>2267</v>
      </c>
      <c r="F233" s="669" t="s">
        <v>629</v>
      </c>
      <c r="G233" s="678"/>
    </row>
    <row r="234" spans="1:7" ht="25.5">
      <c r="A234" s="669">
        <v>36</v>
      </c>
      <c r="B234" s="670" t="s">
        <v>2287</v>
      </c>
      <c r="C234" s="671">
        <v>42555</v>
      </c>
      <c r="D234" s="671">
        <v>42556</v>
      </c>
      <c r="E234" s="669" t="s">
        <v>2267</v>
      </c>
      <c r="F234" s="669" t="s">
        <v>629</v>
      </c>
      <c r="G234" s="678"/>
    </row>
    <row r="235" spans="1:7" ht="25.5">
      <c r="A235" s="669">
        <v>37</v>
      </c>
      <c r="B235" s="670" t="s">
        <v>2288</v>
      </c>
      <c r="C235" s="671">
        <v>42557</v>
      </c>
      <c r="D235" s="671">
        <v>42561</v>
      </c>
      <c r="E235" s="669" t="s">
        <v>2267</v>
      </c>
      <c r="F235" s="669" t="s">
        <v>629</v>
      </c>
      <c r="G235" s="678"/>
    </row>
    <row r="236" spans="1:7" ht="38.25">
      <c r="A236" s="669">
        <v>38</v>
      </c>
      <c r="B236" s="670" t="s">
        <v>2289</v>
      </c>
      <c r="C236" s="671">
        <v>42564</v>
      </c>
      <c r="D236" s="671">
        <v>42572</v>
      </c>
      <c r="E236" s="669" t="s">
        <v>2267</v>
      </c>
      <c r="F236" s="669" t="s">
        <v>1846</v>
      </c>
      <c r="G236" s="678"/>
    </row>
    <row r="237" spans="1:7" ht="38.25">
      <c r="A237" s="669">
        <v>39</v>
      </c>
      <c r="B237" s="670" t="s">
        <v>2290</v>
      </c>
      <c r="C237" s="671">
        <v>42575</v>
      </c>
      <c r="D237" s="671">
        <v>42586</v>
      </c>
      <c r="E237" s="669" t="s">
        <v>2267</v>
      </c>
      <c r="F237" s="669" t="s">
        <v>1846</v>
      </c>
      <c r="G237" s="678"/>
    </row>
    <row r="238" spans="1:7" ht="15.75">
      <c r="A238" s="672"/>
      <c r="B238" s="683"/>
      <c r="C238" s="684"/>
      <c r="D238" s="682"/>
      <c r="E238" s="672"/>
      <c r="F238" s="672"/>
      <c r="G238" s="676"/>
    </row>
    <row r="239" spans="1:7">
      <c r="A239" s="669">
        <v>40</v>
      </c>
      <c r="B239" s="670" t="s">
        <v>2291</v>
      </c>
      <c r="C239" s="671">
        <v>42589</v>
      </c>
      <c r="D239" s="671">
        <v>42589</v>
      </c>
      <c r="E239" s="669" t="s">
        <v>2267</v>
      </c>
      <c r="F239" s="669" t="s">
        <v>2292</v>
      </c>
      <c r="G239" s="678"/>
    </row>
    <row r="240" spans="1:7" ht="38.25">
      <c r="A240" s="669">
        <v>41</v>
      </c>
      <c r="B240" s="670" t="s">
        <v>2293</v>
      </c>
      <c r="C240" s="671">
        <v>42589</v>
      </c>
      <c r="D240" s="671">
        <v>42592</v>
      </c>
      <c r="E240" s="669" t="s">
        <v>2267</v>
      </c>
      <c r="F240" s="669" t="s">
        <v>1846</v>
      </c>
      <c r="G240" s="678"/>
    </row>
    <row r="241" spans="1:7" ht="25.5">
      <c r="A241" s="669">
        <v>42</v>
      </c>
      <c r="B241" s="670" t="s">
        <v>2294</v>
      </c>
      <c r="C241" s="671">
        <v>42589</v>
      </c>
      <c r="D241" s="671">
        <v>42592</v>
      </c>
      <c r="E241" s="669" t="s">
        <v>2267</v>
      </c>
      <c r="F241" s="669" t="s">
        <v>1846</v>
      </c>
      <c r="G241" s="678"/>
    </row>
    <row r="242" spans="1:7" ht="25.5">
      <c r="A242" s="669">
        <v>43</v>
      </c>
      <c r="B242" s="670" t="s">
        <v>2295</v>
      </c>
      <c r="C242" s="671">
        <v>42596</v>
      </c>
      <c r="D242" s="671">
        <v>42596</v>
      </c>
      <c r="E242" s="669" t="s">
        <v>2267</v>
      </c>
      <c r="F242" s="669" t="s">
        <v>2292</v>
      </c>
      <c r="G242" s="678"/>
    </row>
    <row r="243" spans="1:7" ht="15.75">
      <c r="A243" s="672"/>
      <c r="B243" s="683"/>
      <c r="C243" s="684"/>
      <c r="D243" s="682"/>
      <c r="E243" s="672"/>
      <c r="F243" s="672"/>
      <c r="G243" s="676"/>
    </row>
    <row r="244" spans="1:7">
      <c r="A244" s="669">
        <v>44</v>
      </c>
      <c r="B244" s="670" t="s">
        <v>2296</v>
      </c>
      <c r="C244" s="671">
        <v>42186</v>
      </c>
      <c r="D244" s="671">
        <v>42582</v>
      </c>
      <c r="E244" s="669" t="s">
        <v>2267</v>
      </c>
      <c r="F244" s="669" t="s">
        <v>629</v>
      </c>
      <c r="G244" s="669"/>
    </row>
    <row r="245" spans="1:7" ht="25.5">
      <c r="A245" s="669">
        <v>45</v>
      </c>
      <c r="B245" s="670" t="s">
        <v>2297</v>
      </c>
      <c r="C245" s="671">
        <v>42186</v>
      </c>
      <c r="D245" s="671">
        <v>42582</v>
      </c>
      <c r="E245" s="669" t="s">
        <v>2267</v>
      </c>
      <c r="F245" s="669" t="s">
        <v>629</v>
      </c>
      <c r="G245" s="669"/>
    </row>
    <row r="246" spans="1:7" ht="25.5">
      <c r="A246" s="669">
        <v>46</v>
      </c>
      <c r="B246" s="670" t="s">
        <v>2016</v>
      </c>
      <c r="C246" s="671">
        <v>42583</v>
      </c>
      <c r="D246" s="671">
        <v>42596</v>
      </c>
      <c r="E246" s="669" t="s">
        <v>2267</v>
      </c>
      <c r="F246" s="669" t="s">
        <v>629</v>
      </c>
      <c r="G246" s="678"/>
    </row>
    <row r="247" spans="1:7">
      <c r="A247" s="669">
        <v>47</v>
      </c>
      <c r="B247" s="670" t="s">
        <v>2298</v>
      </c>
      <c r="C247" s="671">
        <v>42597</v>
      </c>
      <c r="D247" s="671">
        <v>42603</v>
      </c>
      <c r="E247" s="669" t="s">
        <v>2267</v>
      </c>
      <c r="F247" s="669" t="s">
        <v>629</v>
      </c>
      <c r="G247" s="678"/>
    </row>
    <row r="248" spans="1:7" ht="25.5">
      <c r="A248" s="669">
        <v>48</v>
      </c>
      <c r="B248" s="670" t="s">
        <v>2299</v>
      </c>
      <c r="C248" s="671">
        <v>42597</v>
      </c>
      <c r="D248" s="671">
        <v>42603</v>
      </c>
      <c r="E248" s="669" t="s">
        <v>2267</v>
      </c>
      <c r="F248" s="669" t="s">
        <v>629</v>
      </c>
      <c r="G248" s="678"/>
    </row>
    <row r="249" spans="1:7">
      <c r="A249" s="669">
        <v>49</v>
      </c>
      <c r="B249" s="670" t="s">
        <v>2300</v>
      </c>
      <c r="C249" s="671">
        <v>42611</v>
      </c>
      <c r="D249" s="671">
        <v>42617</v>
      </c>
      <c r="E249" s="669" t="s">
        <v>2267</v>
      </c>
      <c r="F249" s="669" t="s">
        <v>629</v>
      </c>
      <c r="G249" s="678"/>
    </row>
    <row r="250" spans="1:7" ht="15.75">
      <c r="A250" s="672"/>
      <c r="B250" s="685"/>
      <c r="C250" s="682"/>
      <c r="D250" s="682"/>
      <c r="E250" s="672"/>
      <c r="F250" s="672"/>
      <c r="G250" s="676"/>
    </row>
    <row r="251" spans="1:7" ht="25.5">
      <c r="A251" s="669">
        <v>50</v>
      </c>
      <c r="B251" s="670" t="s">
        <v>2301</v>
      </c>
      <c r="C251" s="671">
        <v>42566</v>
      </c>
      <c r="D251" s="671">
        <v>42582</v>
      </c>
      <c r="E251" s="669" t="s">
        <v>2267</v>
      </c>
      <c r="F251" s="669" t="s">
        <v>1846</v>
      </c>
      <c r="G251" s="678"/>
    </row>
    <row r="252" spans="1:7" ht="38.25">
      <c r="A252" s="669">
        <v>51</v>
      </c>
      <c r="B252" s="670" t="s">
        <v>2302</v>
      </c>
      <c r="C252" s="671">
        <v>42583</v>
      </c>
      <c r="D252" s="671">
        <v>42596</v>
      </c>
      <c r="E252" s="669" t="s">
        <v>2267</v>
      </c>
      <c r="F252" s="669" t="s">
        <v>1846</v>
      </c>
      <c r="G252" s="678"/>
    </row>
    <row r="253" spans="1:7" ht="38.25">
      <c r="A253" s="669">
        <v>52</v>
      </c>
      <c r="B253" s="670" t="s">
        <v>2303</v>
      </c>
      <c r="C253" s="671">
        <v>42597</v>
      </c>
      <c r="D253" s="671">
        <v>42597</v>
      </c>
      <c r="E253" s="669" t="s">
        <v>2267</v>
      </c>
      <c r="F253" s="669" t="s">
        <v>1846</v>
      </c>
      <c r="G253" s="678"/>
    </row>
    <row r="254" spans="1:7" ht="38.25">
      <c r="A254" s="669">
        <v>53</v>
      </c>
      <c r="B254" s="670" t="s">
        <v>2304</v>
      </c>
      <c r="C254" s="671">
        <v>42598</v>
      </c>
      <c r="D254" s="671">
        <v>42603</v>
      </c>
      <c r="E254" s="669" t="s">
        <v>2267</v>
      </c>
      <c r="F254" s="669" t="s">
        <v>1846</v>
      </c>
      <c r="G254" s="678"/>
    </row>
    <row r="255" spans="1:7">
      <c r="A255" s="669">
        <v>54</v>
      </c>
      <c r="B255" s="670" t="s">
        <v>2305</v>
      </c>
      <c r="C255" s="671">
        <v>42604</v>
      </c>
      <c r="D255" s="671">
        <v>42604</v>
      </c>
      <c r="E255" s="669" t="s">
        <v>2267</v>
      </c>
      <c r="F255" s="669" t="s">
        <v>1846</v>
      </c>
      <c r="G255" s="678"/>
    </row>
    <row r="256" spans="1:7" ht="25.5">
      <c r="A256" s="669">
        <v>55</v>
      </c>
      <c r="B256" s="670" t="s">
        <v>2306</v>
      </c>
      <c r="C256" s="671">
        <v>42605</v>
      </c>
      <c r="D256" s="671">
        <v>42613</v>
      </c>
      <c r="E256" s="669" t="s">
        <v>2267</v>
      </c>
      <c r="F256" s="669" t="s">
        <v>1846</v>
      </c>
      <c r="G256" s="678"/>
    </row>
    <row r="257" spans="1:7" ht="39">
      <c r="A257" s="669">
        <v>56</v>
      </c>
      <c r="B257" s="677" t="s">
        <v>2014</v>
      </c>
      <c r="C257" s="671">
        <v>42605</v>
      </c>
      <c r="D257" s="671">
        <v>42613</v>
      </c>
      <c r="E257" s="669" t="s">
        <v>2267</v>
      </c>
      <c r="F257" s="669" t="s">
        <v>1846</v>
      </c>
      <c r="G257" s="678"/>
    </row>
    <row r="258" spans="1:7" ht="26.25">
      <c r="A258" s="669">
        <v>57</v>
      </c>
      <c r="B258" s="677" t="s">
        <v>2307</v>
      </c>
      <c r="C258" s="671">
        <v>42614</v>
      </c>
      <c r="D258" s="671">
        <v>42617</v>
      </c>
      <c r="E258" s="669" t="s">
        <v>2267</v>
      </c>
      <c r="F258" s="669" t="s">
        <v>1846</v>
      </c>
      <c r="G258" s="678"/>
    </row>
    <row r="259" spans="1:7" ht="26.25">
      <c r="A259" s="669">
        <v>58</v>
      </c>
      <c r="B259" s="677" t="s">
        <v>2308</v>
      </c>
      <c r="C259" s="671">
        <v>42618</v>
      </c>
      <c r="D259" s="671">
        <v>42642</v>
      </c>
      <c r="E259" s="669" t="s">
        <v>2267</v>
      </c>
      <c r="F259" s="669" t="s">
        <v>1846</v>
      </c>
      <c r="G259" s="678"/>
    </row>
    <row r="260" spans="1:7">
      <c r="A260" s="669">
        <v>59</v>
      </c>
      <c r="B260" s="677" t="s">
        <v>2309</v>
      </c>
      <c r="C260" s="671">
        <v>42617</v>
      </c>
      <c r="D260" s="671">
        <v>42642</v>
      </c>
      <c r="E260" s="669" t="s">
        <v>2267</v>
      </c>
      <c r="F260" s="669" t="s">
        <v>1846</v>
      </c>
      <c r="G260" s="678"/>
    </row>
    <row r="261" spans="1:7">
      <c r="A261" s="669">
        <v>60</v>
      </c>
      <c r="B261" s="677" t="s">
        <v>2310</v>
      </c>
      <c r="C261" s="671">
        <v>42638</v>
      </c>
      <c r="D261" s="671">
        <v>42642</v>
      </c>
      <c r="E261" s="669" t="s">
        <v>2267</v>
      </c>
      <c r="F261" s="678" t="s">
        <v>639</v>
      </c>
      <c r="G261" s="678"/>
    </row>
    <row r="262" spans="1:7" ht="26.25">
      <c r="A262" s="669">
        <v>61</v>
      </c>
      <c r="B262" s="677" t="s">
        <v>2311</v>
      </c>
      <c r="C262" s="671">
        <v>42645</v>
      </c>
      <c r="D262" s="671">
        <v>42645</v>
      </c>
      <c r="E262" s="669" t="s">
        <v>2267</v>
      </c>
      <c r="F262" s="678" t="s">
        <v>639</v>
      </c>
      <c r="G262" s="678"/>
    </row>
    <row r="263" spans="1:7">
      <c r="A263" s="669">
        <v>62</v>
      </c>
      <c r="B263" s="677" t="s">
        <v>2312</v>
      </c>
      <c r="C263" s="671">
        <v>42646</v>
      </c>
      <c r="D263" s="671">
        <v>42646</v>
      </c>
      <c r="E263" s="678" t="s">
        <v>2313</v>
      </c>
      <c r="F263" s="678" t="s">
        <v>639</v>
      </c>
      <c r="G263" s="678"/>
    </row>
    <row r="264" spans="1:7" ht="26.25">
      <c r="A264" s="669">
        <v>63</v>
      </c>
      <c r="B264" s="677" t="s">
        <v>3590</v>
      </c>
      <c r="C264" s="671">
        <v>42645</v>
      </c>
      <c r="D264" s="671">
        <v>42282</v>
      </c>
      <c r="E264" s="669" t="s">
        <v>2267</v>
      </c>
      <c r="F264" s="678" t="s">
        <v>639</v>
      </c>
      <c r="G264" s="678"/>
    </row>
    <row r="265" spans="1:7" ht="26.25">
      <c r="A265" s="669">
        <v>64</v>
      </c>
      <c r="B265" s="677" t="s">
        <v>645</v>
      </c>
      <c r="C265" s="671">
        <v>42645</v>
      </c>
      <c r="D265" s="671">
        <v>42282</v>
      </c>
      <c r="E265" s="669" t="s">
        <v>2267</v>
      </c>
      <c r="F265" s="678" t="s">
        <v>639</v>
      </c>
      <c r="G265" s="669"/>
    </row>
    <row r="266" spans="1:7">
      <c r="A266" s="664"/>
      <c r="B266" s="664"/>
      <c r="C266" s="664"/>
      <c r="D266" s="664"/>
      <c r="E266" s="664"/>
      <c r="F266" s="664"/>
      <c r="G266" s="664"/>
    </row>
    <row r="267" spans="1:7">
      <c r="A267" s="663"/>
      <c r="B267" s="679" t="s">
        <v>646</v>
      </c>
      <c r="C267" s="663"/>
      <c r="D267" s="663"/>
      <c r="E267" s="663"/>
      <c r="F267" s="663"/>
      <c r="G267" s="663"/>
    </row>
    <row r="268" spans="1:7">
      <c r="A268" s="663"/>
      <c r="B268" s="664"/>
      <c r="C268" s="663"/>
      <c r="D268" s="663"/>
      <c r="E268" s="663"/>
      <c r="F268" s="663"/>
      <c r="G268" s="663"/>
    </row>
    <row r="269" spans="1:7">
      <c r="A269" s="663"/>
      <c r="B269" s="664" t="s">
        <v>4908</v>
      </c>
      <c r="C269" s="663"/>
      <c r="D269" s="663"/>
      <c r="E269" s="663"/>
      <c r="F269" s="665" t="s">
        <v>647</v>
      </c>
      <c r="G269" s="663"/>
    </row>
    <row r="270" spans="1:7">
      <c r="A270" s="663"/>
      <c r="B270" s="664"/>
      <c r="C270" s="663"/>
      <c r="D270" s="663"/>
      <c r="E270" s="663"/>
      <c r="F270" s="665"/>
      <c r="G270" s="663"/>
    </row>
    <row r="271" spans="1:7">
      <c r="A271" s="663"/>
      <c r="B271" s="664" t="s">
        <v>3592</v>
      </c>
      <c r="C271" s="663"/>
      <c r="D271" s="663"/>
      <c r="E271" s="663"/>
      <c r="F271" s="665" t="s">
        <v>3593</v>
      </c>
      <c r="G271" s="663"/>
    </row>
    <row r="272" spans="1:7">
      <c r="A272" s="663"/>
      <c r="B272" s="664"/>
      <c r="C272" s="663"/>
      <c r="D272" s="663"/>
      <c r="E272" s="663"/>
      <c r="F272" s="665"/>
      <c r="G272" s="663"/>
    </row>
    <row r="273" spans="1:8">
      <c r="A273" s="663"/>
      <c r="B273" s="664" t="s">
        <v>648</v>
      </c>
      <c r="C273" s="663"/>
      <c r="D273" s="663"/>
      <c r="E273" s="663"/>
      <c r="F273" s="665" t="s">
        <v>649</v>
      </c>
      <c r="G273" s="663"/>
    </row>
    <row r="274" spans="1:8">
      <c r="A274" s="663"/>
      <c r="B274" s="664"/>
      <c r="C274" s="663"/>
      <c r="D274" s="663"/>
      <c r="E274" s="663"/>
      <c r="F274" s="665"/>
      <c r="G274" s="663"/>
    </row>
    <row r="275" spans="1:8">
      <c r="A275" s="663"/>
      <c r="B275" s="664" t="s">
        <v>1864</v>
      </c>
      <c r="C275" s="663"/>
      <c r="D275" s="663"/>
      <c r="E275" s="663"/>
      <c r="F275" s="665" t="s">
        <v>650</v>
      </c>
      <c r="G275" s="663"/>
    </row>
    <row r="276" spans="1:8">
      <c r="F276" s="621"/>
    </row>
    <row r="277" spans="1:8">
      <c r="A277" s="1452"/>
      <c r="B277" s="639"/>
      <c r="C277" s="1452"/>
      <c r="D277" s="1452"/>
      <c r="E277" s="1452"/>
      <c r="F277" s="1453"/>
      <c r="G277" s="1452"/>
      <c r="H277" s="1454" t="s">
        <v>1799</v>
      </c>
    </row>
    <row r="278" spans="1:8">
      <c r="A278" s="1452"/>
      <c r="B278" s="1455"/>
      <c r="C278" s="1452"/>
      <c r="D278" s="1452"/>
      <c r="E278" s="1452"/>
      <c r="F278" s="1453"/>
      <c r="G278" s="1452"/>
      <c r="H278" s="1456" t="s">
        <v>1801</v>
      </c>
    </row>
    <row r="279" spans="1:8">
      <c r="A279" s="1452"/>
      <c r="B279" s="1455"/>
      <c r="C279" s="1452"/>
      <c r="D279" s="1452"/>
      <c r="E279" s="1452"/>
      <c r="F279" s="1453"/>
      <c r="G279" s="1452"/>
      <c r="H279" s="1456" t="s">
        <v>1802</v>
      </c>
    </row>
    <row r="280" spans="1:8">
      <c r="A280" s="1452"/>
      <c r="B280" s="1455"/>
      <c r="C280" s="1452"/>
      <c r="D280" s="1452"/>
      <c r="E280" s="1452"/>
      <c r="F280" s="1453"/>
      <c r="G280" s="1452"/>
      <c r="H280" s="1456" t="s">
        <v>1803</v>
      </c>
    </row>
    <row r="281" spans="1:8">
      <c r="A281" s="1452"/>
      <c r="B281" s="1455"/>
      <c r="C281" s="1452"/>
      <c r="D281" s="1452"/>
      <c r="E281" s="1452"/>
      <c r="F281" s="1453"/>
      <c r="G281" s="1452"/>
      <c r="H281" s="1456" t="s">
        <v>1805</v>
      </c>
    </row>
    <row r="282" spans="1:8">
      <c r="A282" s="1452"/>
      <c r="B282" s="1455"/>
      <c r="C282" s="1452"/>
      <c r="D282" s="1452"/>
      <c r="E282" s="1452"/>
      <c r="F282" s="1453"/>
      <c r="G282" s="1452"/>
      <c r="H282" s="1456" t="s">
        <v>1645</v>
      </c>
    </row>
    <row r="283" spans="1:8">
      <c r="A283" s="1452"/>
      <c r="B283" s="1457"/>
      <c r="C283" s="1452"/>
      <c r="D283" s="1452"/>
      <c r="E283" s="1452"/>
      <c r="F283" s="1453"/>
      <c r="G283" s="1452"/>
      <c r="H283" s="1452"/>
    </row>
    <row r="284" spans="1:8" ht="15.75">
      <c r="A284" s="1457"/>
      <c r="B284" s="1457"/>
      <c r="C284" s="1458" t="s">
        <v>1646</v>
      </c>
      <c r="D284" s="1452"/>
      <c r="E284" s="1452"/>
      <c r="F284" s="1453"/>
      <c r="G284" s="1452"/>
      <c r="H284" s="1452"/>
    </row>
    <row r="285" spans="1:8" ht="15.75">
      <c r="A285" s="1457"/>
      <c r="B285" s="1457"/>
      <c r="C285" s="1458" t="s">
        <v>1647</v>
      </c>
      <c r="D285" s="1452"/>
      <c r="E285" s="1452"/>
      <c r="F285" s="1453"/>
      <c r="G285" s="1452"/>
      <c r="H285" s="1452"/>
    </row>
    <row r="286" spans="1:8">
      <c r="A286" s="1452"/>
      <c r="B286" s="1457"/>
      <c r="C286" s="1452"/>
      <c r="D286" s="1452"/>
      <c r="E286" s="1452"/>
      <c r="F286" s="1453"/>
      <c r="G286" s="1452"/>
      <c r="H286" s="1452"/>
    </row>
    <row r="287" spans="1:8">
      <c r="A287" s="1813" t="s">
        <v>1808</v>
      </c>
      <c r="B287" s="1813" t="s">
        <v>1809</v>
      </c>
      <c r="C287" s="1811" t="s">
        <v>1648</v>
      </c>
      <c r="D287" s="1812"/>
      <c r="E287" s="1811" t="s">
        <v>1649</v>
      </c>
      <c r="F287" s="1812"/>
      <c r="G287" s="1811" t="s">
        <v>1650</v>
      </c>
      <c r="H287" s="1812"/>
    </row>
    <row r="288" spans="1:8">
      <c r="A288" s="1814"/>
      <c r="B288" s="1814"/>
      <c r="C288" s="1459" t="s">
        <v>1810</v>
      </c>
      <c r="D288" s="1459" t="s">
        <v>1811</v>
      </c>
      <c r="E288" s="1459" t="s">
        <v>1810</v>
      </c>
      <c r="F288" s="1459" t="s">
        <v>1811</v>
      </c>
      <c r="G288" s="1459" t="s">
        <v>1810</v>
      </c>
      <c r="H288" s="1459" t="s">
        <v>1811</v>
      </c>
    </row>
    <row r="289" spans="1:8">
      <c r="A289" s="1459">
        <v>1</v>
      </c>
      <c r="B289" s="1460" t="s">
        <v>1651</v>
      </c>
      <c r="C289" s="1461"/>
      <c r="D289" s="1461"/>
      <c r="E289" s="1462">
        <v>42947</v>
      </c>
      <c r="F289" s="1462">
        <v>42951</v>
      </c>
      <c r="G289" s="1461"/>
      <c r="H289" s="1461"/>
    </row>
    <row r="290" spans="1:8">
      <c r="A290" s="1459">
        <v>2</v>
      </c>
      <c r="B290" s="1460" t="s">
        <v>1652</v>
      </c>
      <c r="C290" s="1463"/>
      <c r="D290" s="1463"/>
      <c r="E290" s="1462">
        <v>42955</v>
      </c>
      <c r="F290" s="1462">
        <v>42956</v>
      </c>
      <c r="G290" s="1461"/>
      <c r="H290" s="1461"/>
    </row>
    <row r="291" spans="1:8">
      <c r="A291" s="1459">
        <v>3</v>
      </c>
      <c r="B291" s="1460" t="s">
        <v>1653</v>
      </c>
      <c r="C291" s="1463"/>
      <c r="D291" s="1463"/>
      <c r="E291" s="1462">
        <v>42957</v>
      </c>
      <c r="F291" s="1462">
        <v>42958</v>
      </c>
      <c r="G291" s="1461"/>
      <c r="H291" s="1461"/>
    </row>
    <row r="292" spans="1:8">
      <c r="A292" s="1459">
        <v>4</v>
      </c>
      <c r="B292" s="1460" t="s">
        <v>1654</v>
      </c>
      <c r="C292" s="1463"/>
      <c r="D292" s="1463"/>
      <c r="E292" s="1462">
        <v>42947</v>
      </c>
      <c r="F292" s="1462">
        <v>42958</v>
      </c>
      <c r="G292" s="1461"/>
      <c r="H292" s="1461"/>
    </row>
    <row r="293" spans="1:8" ht="38.25">
      <c r="A293" s="1459">
        <v>5</v>
      </c>
      <c r="B293" s="1460" t="s">
        <v>1655</v>
      </c>
      <c r="C293" s="1462">
        <v>42960</v>
      </c>
      <c r="D293" s="1462">
        <v>42964</v>
      </c>
      <c r="E293" s="1461"/>
      <c r="F293" s="1464"/>
      <c r="G293" s="1461"/>
      <c r="H293" s="1461"/>
    </row>
    <row r="294" spans="1:8" ht="38.25">
      <c r="A294" s="1459">
        <v>6</v>
      </c>
      <c r="B294" s="1460" t="s">
        <v>1656</v>
      </c>
      <c r="C294" s="1463"/>
      <c r="D294" s="1463"/>
      <c r="E294" s="1461"/>
      <c r="F294" s="1464"/>
      <c r="G294" s="1462">
        <v>42933</v>
      </c>
      <c r="H294" s="1462">
        <v>42935</v>
      </c>
    </row>
    <row r="295" spans="1:8">
      <c r="A295" s="1459">
        <v>7</v>
      </c>
      <c r="B295" s="1460" t="s">
        <v>1657</v>
      </c>
      <c r="C295" s="1462">
        <v>42936</v>
      </c>
      <c r="D295" s="1462">
        <v>42936</v>
      </c>
      <c r="E295" s="1461"/>
      <c r="F295" s="1464"/>
      <c r="G295" s="1462">
        <v>42936</v>
      </c>
      <c r="H295" s="1462">
        <v>42936</v>
      </c>
    </row>
    <row r="296" spans="1:8" ht="38.25">
      <c r="A296" s="1459">
        <v>8</v>
      </c>
      <c r="B296" s="1460" t="s">
        <v>1658</v>
      </c>
      <c r="C296" s="1463"/>
      <c r="D296" s="1465"/>
      <c r="E296" s="1461"/>
      <c r="F296" s="1464"/>
      <c r="G296" s="1462">
        <v>42935</v>
      </c>
      <c r="H296" s="1462">
        <v>42939</v>
      </c>
    </row>
    <row r="297" spans="1:8">
      <c r="A297" s="1459">
        <v>9</v>
      </c>
      <c r="B297" s="1460" t="s">
        <v>1659</v>
      </c>
      <c r="C297" s="1462">
        <v>42940</v>
      </c>
      <c r="D297" s="1462">
        <v>42940</v>
      </c>
      <c r="E297" s="1461"/>
      <c r="F297" s="1464"/>
      <c r="G297" s="1462">
        <v>42940</v>
      </c>
      <c r="H297" s="1462">
        <v>42940</v>
      </c>
    </row>
    <row r="298" spans="1:8">
      <c r="A298" s="1459">
        <v>10</v>
      </c>
      <c r="B298" s="1460" t="s">
        <v>1660</v>
      </c>
      <c r="C298" s="1463"/>
      <c r="D298" s="1463"/>
      <c r="E298" s="1462">
        <v>42961</v>
      </c>
      <c r="F298" s="1462">
        <v>42962</v>
      </c>
      <c r="G298" s="1461"/>
      <c r="H298" s="1461"/>
    </row>
    <row r="299" spans="1:8">
      <c r="A299" s="1459">
        <v>11</v>
      </c>
      <c r="B299" s="1460" t="s">
        <v>1661</v>
      </c>
      <c r="C299" s="1463"/>
      <c r="D299" s="1463"/>
      <c r="E299" s="1462">
        <v>42963</v>
      </c>
      <c r="F299" s="1462">
        <v>42963</v>
      </c>
      <c r="G299" s="1461"/>
      <c r="H299" s="1461"/>
    </row>
    <row r="300" spans="1:8">
      <c r="A300" s="1459">
        <v>12</v>
      </c>
      <c r="B300" s="1460" t="s">
        <v>1662</v>
      </c>
      <c r="C300" s="1462">
        <v>42964</v>
      </c>
      <c r="D300" s="1462">
        <v>42964</v>
      </c>
      <c r="E300" s="1461"/>
      <c r="F300" s="1464"/>
      <c r="G300" s="1461"/>
      <c r="H300" s="1461"/>
    </row>
    <row r="301" spans="1:8">
      <c r="A301" s="1459">
        <v>13</v>
      </c>
      <c r="B301" s="1460" t="s">
        <v>1663</v>
      </c>
      <c r="C301" s="1462">
        <v>42965</v>
      </c>
      <c r="D301" s="1462">
        <v>42965</v>
      </c>
      <c r="E301" s="1461"/>
      <c r="F301" s="1464"/>
      <c r="G301" s="1461"/>
      <c r="H301" s="1461"/>
    </row>
    <row r="302" spans="1:8">
      <c r="A302" s="1459">
        <v>14</v>
      </c>
      <c r="B302" s="1460" t="s">
        <v>1664</v>
      </c>
      <c r="C302" s="1462">
        <v>42966</v>
      </c>
      <c r="D302" s="1462">
        <v>42966</v>
      </c>
      <c r="E302" s="1461"/>
      <c r="F302" s="1464"/>
      <c r="G302" s="1461"/>
      <c r="H302" s="1461"/>
    </row>
    <row r="303" spans="1:8">
      <c r="A303" s="1459">
        <v>15</v>
      </c>
      <c r="B303" s="1460" t="s">
        <v>1665</v>
      </c>
      <c r="C303" s="1462">
        <v>42967</v>
      </c>
      <c r="D303" s="1462">
        <v>42968</v>
      </c>
      <c r="E303" s="1461"/>
      <c r="F303" s="1464"/>
      <c r="G303" s="1461"/>
      <c r="H303" s="1461"/>
    </row>
    <row r="304" spans="1:8">
      <c r="A304" s="1459">
        <v>16</v>
      </c>
      <c r="B304" s="1460" t="s">
        <v>1666</v>
      </c>
      <c r="C304" s="1462">
        <v>42969</v>
      </c>
      <c r="D304" s="1462">
        <v>42969</v>
      </c>
      <c r="E304" s="1461"/>
      <c r="F304" s="1464"/>
      <c r="G304" s="1461"/>
      <c r="H304" s="1461"/>
    </row>
    <row r="305" spans="1:8" ht="25.5">
      <c r="A305" s="1459">
        <v>17</v>
      </c>
      <c r="B305" s="1460" t="s">
        <v>1667</v>
      </c>
      <c r="C305" s="1462">
        <v>42970</v>
      </c>
      <c r="D305" s="1462">
        <v>42970</v>
      </c>
      <c r="E305" s="1461"/>
      <c r="F305" s="1464"/>
      <c r="G305" s="1461"/>
      <c r="H305" s="1461"/>
    </row>
    <row r="306" spans="1:8">
      <c r="A306" s="1459">
        <v>18</v>
      </c>
      <c r="B306" s="1460" t="s">
        <v>1668</v>
      </c>
      <c r="C306" s="1462">
        <v>42960</v>
      </c>
      <c r="D306" s="1462">
        <v>42964</v>
      </c>
      <c r="E306" s="1461"/>
      <c r="F306" s="1464"/>
      <c r="G306" s="1461"/>
      <c r="H306" s="1461"/>
    </row>
    <row r="307" spans="1:8" ht="25.5">
      <c r="A307" s="1459">
        <v>19</v>
      </c>
      <c r="B307" s="1460" t="s">
        <v>1669</v>
      </c>
      <c r="C307" s="1462">
        <v>42969</v>
      </c>
      <c r="D307" s="1462">
        <v>42974</v>
      </c>
      <c r="E307" s="1461"/>
      <c r="F307" s="1466"/>
      <c r="G307" s="1461"/>
      <c r="H307" s="1461"/>
    </row>
    <row r="308" spans="1:8">
      <c r="A308" s="1459">
        <v>20</v>
      </c>
      <c r="B308" s="1460" t="s">
        <v>1670</v>
      </c>
      <c r="C308" s="1462">
        <v>42969</v>
      </c>
      <c r="D308" s="1462">
        <v>42974</v>
      </c>
      <c r="E308" s="1461"/>
      <c r="F308" s="1464"/>
      <c r="G308" s="1461"/>
      <c r="H308" s="1461"/>
    </row>
    <row r="309" spans="1:8" ht="38.25">
      <c r="A309" s="1459">
        <v>21</v>
      </c>
      <c r="B309" s="1460" t="s">
        <v>1671</v>
      </c>
      <c r="C309" s="1462">
        <v>42974</v>
      </c>
      <c r="D309" s="1462">
        <v>42974</v>
      </c>
      <c r="E309" s="1461"/>
      <c r="F309" s="1464"/>
      <c r="G309" s="1461"/>
      <c r="H309" s="1461"/>
    </row>
    <row r="310" spans="1:8">
      <c r="A310" s="1459">
        <v>22</v>
      </c>
      <c r="B310" s="1460" t="s">
        <v>1672</v>
      </c>
      <c r="C310" s="1462">
        <v>42974</v>
      </c>
      <c r="D310" s="1462">
        <v>42974</v>
      </c>
      <c r="E310" s="1461"/>
      <c r="F310" s="1467"/>
      <c r="G310" s="1461"/>
      <c r="H310" s="1468"/>
    </row>
    <row r="311" spans="1:8">
      <c r="A311" s="1459">
        <v>23</v>
      </c>
      <c r="B311" s="1460" t="s">
        <v>1673</v>
      </c>
      <c r="C311" s="1463"/>
      <c r="D311" s="1463"/>
      <c r="E311" s="1461"/>
      <c r="F311" s="1464"/>
      <c r="G311" s="1462">
        <v>42975</v>
      </c>
      <c r="H311" s="1462">
        <v>42981</v>
      </c>
    </row>
    <row r="312" spans="1:8" ht="25.5">
      <c r="A312" s="1459">
        <v>24</v>
      </c>
      <c r="B312" s="1460" t="s">
        <v>1674</v>
      </c>
      <c r="C312" s="1463"/>
      <c r="D312" s="1463"/>
      <c r="E312" s="1461"/>
      <c r="F312" s="1464"/>
      <c r="G312" s="1462">
        <v>42982</v>
      </c>
      <c r="H312" s="1462">
        <v>42983</v>
      </c>
    </row>
    <row r="313" spans="1:8">
      <c r="A313" s="1459">
        <v>25</v>
      </c>
      <c r="B313" s="1460" t="s">
        <v>1675</v>
      </c>
      <c r="C313" s="1462">
        <v>42975</v>
      </c>
      <c r="D313" s="1462">
        <v>42981</v>
      </c>
      <c r="E313" s="1461"/>
      <c r="F313" s="1464"/>
      <c r="G313" s="1463"/>
      <c r="H313" s="1463"/>
    </row>
    <row r="314" spans="1:8">
      <c r="A314" s="1459">
        <v>26</v>
      </c>
      <c r="B314" s="1460" t="s">
        <v>1676</v>
      </c>
      <c r="C314" s="1462">
        <v>42975</v>
      </c>
      <c r="D314" s="1462">
        <v>42981</v>
      </c>
      <c r="E314" s="1461"/>
      <c r="F314" s="1464"/>
      <c r="G314" s="1463"/>
      <c r="H314" s="1463"/>
    </row>
    <row r="315" spans="1:8">
      <c r="A315" s="1459">
        <v>27</v>
      </c>
      <c r="B315" s="1460" t="s">
        <v>1677</v>
      </c>
      <c r="C315" s="1462">
        <v>42975</v>
      </c>
      <c r="D315" s="1462">
        <v>42981</v>
      </c>
      <c r="E315" s="1461"/>
      <c r="F315" s="1464"/>
      <c r="G315" s="1463"/>
      <c r="H315" s="1463"/>
    </row>
    <row r="316" spans="1:8">
      <c r="A316" s="1459">
        <v>28</v>
      </c>
      <c r="B316" s="1460" t="s">
        <v>1678</v>
      </c>
      <c r="C316" s="1463"/>
      <c r="D316" s="1463"/>
      <c r="E316" s="1461"/>
      <c r="F316" s="1464"/>
      <c r="G316" s="1462">
        <v>42975</v>
      </c>
      <c r="H316" s="1462">
        <v>42983</v>
      </c>
    </row>
    <row r="317" spans="1:8">
      <c r="A317" s="1459">
        <v>29</v>
      </c>
      <c r="B317" s="1460" t="s">
        <v>1679</v>
      </c>
      <c r="C317" s="1462">
        <v>42984</v>
      </c>
      <c r="D317" s="1462">
        <v>42984</v>
      </c>
      <c r="E317" s="1461"/>
      <c r="F317" s="1464"/>
      <c r="G317" s="1463"/>
      <c r="H317" s="1463"/>
    </row>
    <row r="318" spans="1:8">
      <c r="A318" s="1459">
        <v>30</v>
      </c>
      <c r="B318" s="1460" t="s">
        <v>1680</v>
      </c>
      <c r="C318" s="1462">
        <v>42985</v>
      </c>
      <c r="D318" s="1462">
        <v>42985</v>
      </c>
      <c r="E318" s="1461"/>
      <c r="F318" s="1464"/>
      <c r="G318" s="1462">
        <v>42985</v>
      </c>
      <c r="H318" s="1462">
        <v>42985</v>
      </c>
    </row>
    <row r="319" spans="1:8" ht="51">
      <c r="A319" s="1459">
        <v>31</v>
      </c>
      <c r="B319" s="1460" t="s">
        <v>1681</v>
      </c>
      <c r="C319" s="1463"/>
      <c r="D319" s="1463"/>
      <c r="E319" s="1461"/>
      <c r="F319" s="1464"/>
      <c r="G319" s="1462">
        <v>42988</v>
      </c>
      <c r="H319" s="1462">
        <v>42988</v>
      </c>
    </row>
    <row r="320" spans="1:8" ht="25.5">
      <c r="A320" s="1459">
        <v>32</v>
      </c>
      <c r="B320" s="1460" t="s">
        <v>1682</v>
      </c>
      <c r="C320" s="1462">
        <v>42988</v>
      </c>
      <c r="D320" s="1462">
        <v>42989</v>
      </c>
      <c r="E320" s="1461"/>
      <c r="F320" s="1464"/>
      <c r="G320" s="1461"/>
      <c r="H320" s="1461"/>
    </row>
    <row r="321" spans="1:8">
      <c r="A321" s="1459">
        <v>33</v>
      </c>
      <c r="B321" s="1460" t="s">
        <v>1683</v>
      </c>
      <c r="C321" s="1461"/>
      <c r="D321" s="1461"/>
      <c r="E321" s="1461"/>
      <c r="F321" s="1464"/>
      <c r="G321" s="1462">
        <v>42990</v>
      </c>
      <c r="H321" s="1462">
        <v>42990</v>
      </c>
    </row>
    <row r="322" spans="1:8" ht="38.25">
      <c r="A322" s="1459">
        <v>34</v>
      </c>
      <c r="B322" s="1460" t="s">
        <v>1684</v>
      </c>
      <c r="C322" s="1462">
        <v>42991</v>
      </c>
      <c r="D322" s="1462">
        <v>42992</v>
      </c>
      <c r="E322" s="1461"/>
      <c r="F322" s="1464"/>
      <c r="G322" s="1461"/>
      <c r="H322" s="1461"/>
    </row>
    <row r="323" spans="1:8" ht="38.25">
      <c r="A323" s="1459">
        <v>35</v>
      </c>
      <c r="B323" s="1460" t="s">
        <v>1685</v>
      </c>
      <c r="C323" s="1462">
        <v>42991</v>
      </c>
      <c r="D323" s="1462">
        <v>42992</v>
      </c>
      <c r="E323" s="1462">
        <v>42991</v>
      </c>
      <c r="F323" s="1462">
        <v>42992</v>
      </c>
      <c r="G323" s="1462">
        <v>42991</v>
      </c>
      <c r="H323" s="1462">
        <v>42992</v>
      </c>
    </row>
    <row r="324" spans="1:8">
      <c r="A324" s="1459">
        <v>36</v>
      </c>
      <c r="B324" s="1460" t="s">
        <v>1686</v>
      </c>
      <c r="C324" s="1462">
        <v>42993</v>
      </c>
      <c r="D324" s="1462">
        <v>42996</v>
      </c>
      <c r="E324" s="1461"/>
      <c r="F324" s="1464"/>
      <c r="G324" s="1461"/>
      <c r="H324" s="1461"/>
    </row>
    <row r="325" spans="1:8">
      <c r="A325" s="1459">
        <v>37</v>
      </c>
      <c r="B325" s="1460" t="s">
        <v>1687</v>
      </c>
      <c r="C325" s="1462"/>
      <c r="D325" s="1462"/>
      <c r="E325" s="1469"/>
      <c r="F325" s="1463"/>
      <c r="G325" s="1463"/>
      <c r="H325" s="1463"/>
    </row>
    <row r="326" spans="1:8">
      <c r="A326" s="1452"/>
      <c r="B326" s="1457"/>
      <c r="C326" s="1452"/>
      <c r="D326" s="1452"/>
      <c r="E326" s="1452"/>
      <c r="F326" s="1453"/>
      <c r="G326" s="1453"/>
      <c r="H326" s="1452"/>
    </row>
    <row r="327" spans="1:8">
      <c r="A327" s="1452"/>
      <c r="B327" s="1457" t="s">
        <v>4908</v>
      </c>
      <c r="C327" s="1452"/>
      <c r="D327" s="1452"/>
      <c r="E327" s="1452"/>
      <c r="F327" s="1452"/>
      <c r="G327" s="1455" t="s">
        <v>647</v>
      </c>
      <c r="H327" s="1452"/>
    </row>
    <row r="328" spans="1:8">
      <c r="A328" s="1452"/>
      <c r="B328" s="1457"/>
      <c r="C328" s="1452"/>
      <c r="D328" s="1452"/>
      <c r="E328" s="1452"/>
      <c r="F328" s="1452"/>
      <c r="G328" s="1453"/>
      <c r="H328" s="1452"/>
    </row>
    <row r="329" spans="1:8">
      <c r="A329" s="1452"/>
      <c r="B329" s="1457" t="s">
        <v>648</v>
      </c>
      <c r="C329" s="1452"/>
      <c r="D329" s="1452"/>
      <c r="E329" s="1452"/>
      <c r="F329" s="1452"/>
      <c r="G329" s="1470" t="s">
        <v>649</v>
      </c>
      <c r="H329" s="1452"/>
    </row>
    <row r="330" spans="1:8">
      <c r="A330" s="1452"/>
      <c r="B330" s="1457"/>
      <c r="C330" s="1452"/>
      <c r="D330" s="1452"/>
      <c r="E330" s="1452"/>
      <c r="F330" s="1452"/>
      <c r="G330" s="1453"/>
      <c r="H330" s="1452"/>
    </row>
    <row r="331" spans="1:8">
      <c r="A331" s="1452"/>
      <c r="B331" s="1457" t="s">
        <v>1688</v>
      </c>
      <c r="C331" s="1452"/>
      <c r="D331" s="1452"/>
      <c r="E331" s="1452"/>
      <c r="F331" s="1453"/>
      <c r="G331" s="1470" t="s">
        <v>1689</v>
      </c>
      <c r="H331" s="1452"/>
    </row>
    <row r="332" spans="1:8">
      <c r="A332" s="1452"/>
      <c r="B332" s="1457"/>
      <c r="C332" s="1452"/>
      <c r="D332" s="1452"/>
      <c r="E332" s="1452"/>
      <c r="F332" s="1453"/>
      <c r="G332" s="1455"/>
      <c r="H332" s="1452"/>
    </row>
    <row r="333" spans="1:8">
      <c r="A333" s="1452"/>
      <c r="B333" s="1457" t="s">
        <v>1690</v>
      </c>
      <c r="C333" s="1452"/>
      <c r="D333" s="1452"/>
      <c r="E333" s="1452"/>
      <c r="F333" s="1453"/>
      <c r="G333" s="1470" t="s">
        <v>1691</v>
      </c>
      <c r="H333" s="1452"/>
    </row>
    <row r="334" spans="1:8">
      <c r="F334" s="621"/>
    </row>
    <row r="335" spans="1:8">
      <c r="F335" s="621"/>
    </row>
    <row r="336" spans="1:8">
      <c r="G336" s="621"/>
    </row>
    <row r="337" spans="1:22">
      <c r="G337" s="621"/>
    </row>
    <row r="338" spans="1:22">
      <c r="G338" s="621"/>
    </row>
    <row r="339" spans="1:22">
      <c r="G339" s="621"/>
    </row>
    <row r="340" spans="1:22" ht="16.5">
      <c r="A340" s="686" t="s">
        <v>2314</v>
      </c>
    </row>
    <row r="341" spans="1:22" ht="16.5">
      <c r="A341" s="686" t="s">
        <v>2315</v>
      </c>
    </row>
    <row r="342" spans="1:22" ht="16.5">
      <c r="A342" s="687"/>
    </row>
    <row r="343" spans="1:22" ht="16.5">
      <c r="A343" s="687" t="s">
        <v>2316</v>
      </c>
    </row>
    <row r="344" spans="1:22" ht="15.75" thickBot="1">
      <c r="A344" s="688"/>
    </row>
    <row r="345" spans="1:22">
      <c r="A345" s="689" t="s">
        <v>2317</v>
      </c>
      <c r="B345" s="1804" t="s">
        <v>981</v>
      </c>
      <c r="C345" s="1804" t="s">
        <v>2318</v>
      </c>
      <c r="D345" s="1800" t="s">
        <v>2319</v>
      </c>
      <c r="E345" s="1801"/>
      <c r="F345" s="690" t="s">
        <v>3101</v>
      </c>
      <c r="G345" s="690" t="s">
        <v>3101</v>
      </c>
      <c r="H345" s="690" t="s">
        <v>2320</v>
      </c>
      <c r="I345" s="1804" t="s">
        <v>2321</v>
      </c>
      <c r="J345" s="690" t="s">
        <v>2322</v>
      </c>
      <c r="K345" s="1800" t="s">
        <v>2323</v>
      </c>
      <c r="L345" s="1807"/>
      <c r="M345" s="1807"/>
      <c r="N345" s="1807"/>
      <c r="O345" s="1807"/>
      <c r="P345" s="1807"/>
      <c r="Q345" s="1807"/>
      <c r="R345" s="1801"/>
      <c r="S345" s="1834" t="s">
        <v>2324</v>
      </c>
      <c r="T345" s="1835"/>
      <c r="U345" s="1835"/>
      <c r="V345" s="1836"/>
    </row>
    <row r="346" spans="1:22" ht="15" customHeight="1" thickBot="1">
      <c r="A346" s="691" t="s">
        <v>2325</v>
      </c>
      <c r="B346" s="1805"/>
      <c r="C346" s="1805"/>
      <c r="D346" s="1824" t="s">
        <v>2326</v>
      </c>
      <c r="E346" s="1825"/>
      <c r="F346" s="692" t="s">
        <v>2327</v>
      </c>
      <c r="G346" s="692" t="s">
        <v>2328</v>
      </c>
      <c r="H346" s="692" t="s">
        <v>2329</v>
      </c>
      <c r="I346" s="1805"/>
      <c r="J346" s="692" t="s">
        <v>2330</v>
      </c>
      <c r="K346" s="1802"/>
      <c r="L346" s="1808"/>
      <c r="M346" s="1808"/>
      <c r="N346" s="1808"/>
      <c r="O346" s="1808"/>
      <c r="P346" s="1808"/>
      <c r="Q346" s="1808"/>
      <c r="R346" s="1803"/>
      <c r="S346" s="1837"/>
      <c r="T346" s="1838"/>
      <c r="U346" s="1838"/>
      <c r="V346" s="1839"/>
    </row>
    <row r="347" spans="1:22" ht="12" customHeight="1">
      <c r="A347" s="693"/>
      <c r="B347" s="1805"/>
      <c r="C347" s="1805"/>
      <c r="D347" s="1826"/>
      <c r="E347" s="1827"/>
      <c r="F347" s="692" t="s">
        <v>2331</v>
      </c>
      <c r="G347" s="692" t="s">
        <v>2331</v>
      </c>
      <c r="H347" s="692" t="s">
        <v>2332</v>
      </c>
      <c r="I347" s="1805"/>
      <c r="J347" s="692" t="s">
        <v>2333</v>
      </c>
      <c r="K347" s="1800" t="s">
        <v>2334</v>
      </c>
      <c r="L347" s="1801"/>
      <c r="M347" s="1800" t="s">
        <v>2335</v>
      </c>
      <c r="N347" s="1801"/>
      <c r="O347" s="1800" t="s">
        <v>2336</v>
      </c>
      <c r="P347" s="1801"/>
      <c r="Q347" s="1800" t="s">
        <v>689</v>
      </c>
      <c r="R347" s="1801"/>
      <c r="S347" s="692" t="s">
        <v>2322</v>
      </c>
      <c r="T347" s="692" t="s">
        <v>2322</v>
      </c>
      <c r="U347" s="692" t="s">
        <v>2322</v>
      </c>
      <c r="V347" s="1804" t="s">
        <v>689</v>
      </c>
    </row>
    <row r="348" spans="1:22" ht="15.75" thickBot="1">
      <c r="A348" s="693"/>
      <c r="B348" s="1805"/>
      <c r="C348" s="1806"/>
      <c r="D348" s="1822"/>
      <c r="E348" s="1823"/>
      <c r="F348" s="694"/>
      <c r="G348" s="694"/>
      <c r="H348" s="695"/>
      <c r="I348" s="1806"/>
      <c r="J348" s="695"/>
      <c r="K348" s="1802"/>
      <c r="L348" s="1803"/>
      <c r="M348" s="1802"/>
      <c r="N348" s="1803"/>
      <c r="O348" s="1802"/>
      <c r="P348" s="1803"/>
      <c r="Q348" s="1802"/>
      <c r="R348" s="1803"/>
      <c r="S348" s="696" t="s">
        <v>4508</v>
      </c>
      <c r="T348" s="696" t="s">
        <v>4509</v>
      </c>
      <c r="U348" s="696" t="s">
        <v>4510</v>
      </c>
      <c r="V348" s="1806"/>
    </row>
    <row r="349" spans="1:22" ht="15.75" thickBot="1">
      <c r="A349" s="697"/>
      <c r="B349" s="1821"/>
      <c r="C349" s="698" t="s">
        <v>4511</v>
      </c>
      <c r="D349" s="698" t="s">
        <v>4512</v>
      </c>
      <c r="E349" s="698" t="s">
        <v>4513</v>
      </c>
      <c r="F349" s="699"/>
      <c r="G349" s="699"/>
      <c r="H349" s="698" t="s">
        <v>4514</v>
      </c>
      <c r="I349" s="698" t="s">
        <v>4514</v>
      </c>
      <c r="J349" s="698" t="s">
        <v>4514</v>
      </c>
      <c r="K349" s="698" t="s">
        <v>4512</v>
      </c>
      <c r="L349" s="698" t="s">
        <v>4513</v>
      </c>
      <c r="M349" s="698" t="s">
        <v>4512</v>
      </c>
      <c r="N349" s="698" t="s">
        <v>4513</v>
      </c>
      <c r="O349" s="698" t="s">
        <v>4512</v>
      </c>
      <c r="P349" s="698" t="s">
        <v>4513</v>
      </c>
      <c r="Q349" s="698" t="s">
        <v>4512</v>
      </c>
      <c r="R349" s="698" t="s">
        <v>4513</v>
      </c>
      <c r="S349" s="1840" t="s">
        <v>4514</v>
      </c>
      <c r="T349" s="1841"/>
      <c r="U349" s="1841"/>
      <c r="V349" s="1842"/>
    </row>
    <row r="350" spans="1:22" ht="21" customHeight="1" thickBot="1">
      <c r="A350" s="700"/>
      <c r="B350" s="701" t="s">
        <v>4515</v>
      </c>
      <c r="C350" s="702" t="s">
        <v>4516</v>
      </c>
      <c r="D350" s="702">
        <v>148</v>
      </c>
      <c r="E350" s="702" t="s">
        <v>3568</v>
      </c>
      <c r="F350" s="702" t="s">
        <v>3568</v>
      </c>
      <c r="G350" s="702" t="s">
        <v>3568</v>
      </c>
      <c r="H350" s="702">
        <v>16.178999999999998</v>
      </c>
      <c r="I350" s="702" t="s">
        <v>3568</v>
      </c>
      <c r="J350" s="702">
        <v>4.109</v>
      </c>
      <c r="K350" s="702" t="s">
        <v>3568</v>
      </c>
      <c r="L350" s="702" t="s">
        <v>3568</v>
      </c>
      <c r="M350" s="702" t="s">
        <v>3568</v>
      </c>
      <c r="N350" s="702" t="s">
        <v>3568</v>
      </c>
      <c r="O350" s="702" t="s">
        <v>3568</v>
      </c>
      <c r="P350" s="702" t="s">
        <v>3568</v>
      </c>
      <c r="Q350" s="702" t="s">
        <v>3568</v>
      </c>
      <c r="R350" s="702" t="s">
        <v>3568</v>
      </c>
      <c r="S350" s="702">
        <v>4.109</v>
      </c>
      <c r="T350" s="702">
        <v>4.109</v>
      </c>
      <c r="U350" s="702">
        <v>7.9619999999999997</v>
      </c>
      <c r="V350" s="702">
        <v>16.178999999999998</v>
      </c>
    </row>
    <row r="351" spans="1:22" ht="28.5" customHeight="1" thickBot="1">
      <c r="A351" s="700">
        <v>1</v>
      </c>
      <c r="B351" s="701" t="s">
        <v>4517</v>
      </c>
      <c r="C351" s="702" t="s">
        <v>4516</v>
      </c>
      <c r="D351" s="702">
        <v>148</v>
      </c>
      <c r="E351" s="702" t="s">
        <v>3568</v>
      </c>
      <c r="F351" s="702" t="s">
        <v>3568</v>
      </c>
      <c r="G351" s="702" t="s">
        <v>3568</v>
      </c>
      <c r="H351" s="702">
        <v>16.178999999999998</v>
      </c>
      <c r="I351" s="702" t="s">
        <v>3568</v>
      </c>
      <c r="J351" s="702">
        <v>4.109</v>
      </c>
      <c r="K351" s="702" t="s">
        <v>3568</v>
      </c>
      <c r="L351" s="702" t="s">
        <v>3568</v>
      </c>
      <c r="M351" s="702" t="s">
        <v>3568</v>
      </c>
      <c r="N351" s="702" t="s">
        <v>3568</v>
      </c>
      <c r="O351" s="702" t="s">
        <v>3568</v>
      </c>
      <c r="P351" s="702" t="s">
        <v>3568</v>
      </c>
      <c r="Q351" s="702" t="s">
        <v>3568</v>
      </c>
      <c r="R351" s="702" t="s">
        <v>3568</v>
      </c>
      <c r="S351" s="702">
        <v>4.109</v>
      </c>
      <c r="T351" s="702">
        <v>4.109</v>
      </c>
      <c r="U351" s="702">
        <v>7.9619999999999997</v>
      </c>
      <c r="V351" s="702">
        <v>16.178999999999998</v>
      </c>
    </row>
    <row r="352" spans="1:22" ht="33.75" customHeight="1" thickBot="1">
      <c r="A352" s="700" t="s">
        <v>4518</v>
      </c>
      <c r="B352" s="701" t="s">
        <v>4519</v>
      </c>
      <c r="C352" s="702" t="s">
        <v>4516</v>
      </c>
      <c r="D352" s="702">
        <v>148</v>
      </c>
      <c r="E352" s="702" t="s">
        <v>3568</v>
      </c>
      <c r="F352" s="702" t="s">
        <v>3568</v>
      </c>
      <c r="G352" s="702" t="s">
        <v>3568</v>
      </c>
      <c r="H352" s="702">
        <v>16.178999999999998</v>
      </c>
      <c r="I352" s="702" t="s">
        <v>3568</v>
      </c>
      <c r="J352" s="702">
        <v>4.109</v>
      </c>
      <c r="K352" s="702" t="s">
        <v>3568</v>
      </c>
      <c r="L352" s="702" t="s">
        <v>3568</v>
      </c>
      <c r="M352" s="702" t="s">
        <v>3568</v>
      </c>
      <c r="N352" s="702" t="s">
        <v>3568</v>
      </c>
      <c r="O352" s="702" t="s">
        <v>3568</v>
      </c>
      <c r="P352" s="702" t="s">
        <v>3568</v>
      </c>
      <c r="Q352" s="702" t="s">
        <v>3568</v>
      </c>
      <c r="R352" s="702" t="s">
        <v>3568</v>
      </c>
      <c r="S352" s="702">
        <v>4.109</v>
      </c>
      <c r="T352" s="702">
        <v>4.109</v>
      </c>
      <c r="U352" s="702">
        <v>7.9619999999999997</v>
      </c>
      <c r="V352" s="702">
        <v>16.178999999999998</v>
      </c>
    </row>
    <row r="353" spans="1:22" ht="26.25" customHeight="1" thickBot="1">
      <c r="A353" s="703">
        <v>1</v>
      </c>
      <c r="B353" s="704" t="s">
        <v>4520</v>
      </c>
      <c r="C353" s="702" t="s">
        <v>4521</v>
      </c>
      <c r="D353" s="702">
        <v>148</v>
      </c>
      <c r="E353" s="702" t="s">
        <v>3568</v>
      </c>
      <c r="F353" s="702">
        <v>2012</v>
      </c>
      <c r="G353" s="702">
        <v>2014</v>
      </c>
      <c r="H353" s="702">
        <v>16.178999999999998</v>
      </c>
      <c r="I353" s="702" t="s">
        <v>3568</v>
      </c>
      <c r="J353" s="702">
        <v>4.109</v>
      </c>
      <c r="K353" s="702" t="s">
        <v>3568</v>
      </c>
      <c r="L353" s="702" t="s">
        <v>3568</v>
      </c>
      <c r="M353" s="702" t="s">
        <v>3568</v>
      </c>
      <c r="N353" s="702" t="s">
        <v>3568</v>
      </c>
      <c r="O353" s="702" t="s">
        <v>3568</v>
      </c>
      <c r="P353" s="702" t="s">
        <v>3568</v>
      </c>
      <c r="Q353" s="702" t="s">
        <v>3568</v>
      </c>
      <c r="R353" s="702" t="s">
        <v>3568</v>
      </c>
      <c r="S353" s="702">
        <v>4.109</v>
      </c>
      <c r="T353" s="702">
        <v>4.109</v>
      </c>
      <c r="U353" s="702">
        <v>7.9619999999999997</v>
      </c>
      <c r="V353" s="702">
        <v>16.178999999999998</v>
      </c>
    </row>
    <row r="354" spans="1:22">
      <c r="A354" s="621"/>
    </row>
    <row r="355" spans="1:22">
      <c r="B355" s="705" t="s">
        <v>4760</v>
      </c>
    </row>
    <row r="356" spans="1:22">
      <c r="A356" s="706" t="s">
        <v>4761</v>
      </c>
      <c r="B356" s="705" t="s">
        <v>4762</v>
      </c>
    </row>
    <row r="357" spans="1:22">
      <c r="A357" s="706"/>
      <c r="B357" s="705" t="s">
        <v>4763</v>
      </c>
    </row>
    <row r="358" spans="1:22">
      <c r="A358" s="620"/>
    </row>
    <row r="359" spans="1:22" ht="16.5">
      <c r="B359" s="687" t="s">
        <v>4764</v>
      </c>
      <c r="C359" s="707"/>
    </row>
    <row r="360" spans="1:22" ht="16.5">
      <c r="B360" s="707"/>
      <c r="C360" s="687" t="s">
        <v>4765</v>
      </c>
    </row>
    <row r="361" spans="1:22" ht="17.25" thickBot="1">
      <c r="A361" s="708"/>
    </row>
    <row r="362" spans="1:22" ht="15" customHeight="1">
      <c r="B362" s="1816" t="s">
        <v>4766</v>
      </c>
      <c r="C362" s="709" t="s">
        <v>4767</v>
      </c>
      <c r="D362" s="709" t="s">
        <v>4768</v>
      </c>
      <c r="E362" s="709" t="s">
        <v>4769</v>
      </c>
      <c r="F362" s="710" t="s">
        <v>4770</v>
      </c>
    </row>
    <row r="363" spans="1:22" ht="15.75" customHeight="1" thickBot="1">
      <c r="B363" s="1817"/>
      <c r="C363" s="711"/>
      <c r="D363" s="711"/>
      <c r="E363" s="711"/>
      <c r="F363" s="712" t="s">
        <v>4771</v>
      </c>
    </row>
    <row r="364" spans="1:22" ht="30">
      <c r="B364" s="713" t="s">
        <v>4772</v>
      </c>
      <c r="C364" s="714" t="s">
        <v>4773</v>
      </c>
      <c r="D364" s="714" t="s">
        <v>4773</v>
      </c>
      <c r="E364" s="714">
        <v>6.7480000000000002</v>
      </c>
      <c r="F364" s="714">
        <v>13.712</v>
      </c>
    </row>
    <row r="365" spans="1:22" ht="15.75" thickBot="1">
      <c r="B365" s="715" t="s">
        <v>4774</v>
      </c>
      <c r="C365" s="716"/>
      <c r="D365" s="716"/>
      <c r="E365" s="716"/>
      <c r="F365" s="716"/>
    </row>
    <row r="366" spans="1:22" ht="15.75" thickBot="1">
      <c r="B366" s="717" t="s">
        <v>4775</v>
      </c>
      <c r="C366" s="718" t="s">
        <v>4773</v>
      </c>
      <c r="D366" s="718" t="s">
        <v>4773</v>
      </c>
      <c r="E366" s="718">
        <v>3.4820000000000002</v>
      </c>
      <c r="F366" s="718">
        <v>10.446</v>
      </c>
    </row>
    <row r="367" spans="1:22" ht="15.75" thickBot="1">
      <c r="B367" s="717" t="s">
        <v>4776</v>
      </c>
      <c r="C367" s="718" t="s">
        <v>3568</v>
      </c>
      <c r="D367" s="718" t="s">
        <v>3568</v>
      </c>
      <c r="E367" s="718">
        <v>3.266</v>
      </c>
      <c r="F367" s="719">
        <v>3.266</v>
      </c>
    </row>
    <row r="368" spans="1:22" ht="15.75" thickBot="1">
      <c r="B368" s="717" t="s">
        <v>4777</v>
      </c>
      <c r="C368" s="718" t="s">
        <v>3568</v>
      </c>
      <c r="D368" s="718" t="s">
        <v>3568</v>
      </c>
      <c r="E368" s="718" t="s">
        <v>3568</v>
      </c>
      <c r="F368" s="718" t="s">
        <v>3568</v>
      </c>
    </row>
    <row r="369" spans="1:19" ht="15.75" thickBot="1">
      <c r="B369" s="715" t="s">
        <v>4778</v>
      </c>
      <c r="C369" s="718" t="s">
        <v>3568</v>
      </c>
      <c r="D369" s="718" t="s">
        <v>3568</v>
      </c>
      <c r="E369" s="718" t="s">
        <v>3568</v>
      </c>
      <c r="F369" s="718" t="s">
        <v>3568</v>
      </c>
    </row>
    <row r="370" spans="1:19" ht="15.75" thickBot="1">
      <c r="B370" s="720" t="s">
        <v>4779</v>
      </c>
      <c r="C370" s="718" t="s">
        <v>3568</v>
      </c>
      <c r="D370" s="718" t="s">
        <v>3568</v>
      </c>
      <c r="E370" s="718" t="s">
        <v>3568</v>
      </c>
      <c r="F370" s="718" t="s">
        <v>3568</v>
      </c>
    </row>
    <row r="371" spans="1:19" ht="15.75" thickBot="1">
      <c r="B371" s="721" t="s">
        <v>4780</v>
      </c>
      <c r="C371" s="719" t="s">
        <v>4781</v>
      </c>
      <c r="D371" s="719" t="s">
        <v>4781</v>
      </c>
      <c r="E371" s="719" t="s">
        <v>4782</v>
      </c>
      <c r="F371" s="719">
        <v>13.712</v>
      </c>
    </row>
    <row r="372" spans="1:19" ht="16.5">
      <c r="A372" s="722"/>
    </row>
    <row r="373" spans="1:19" ht="16.5">
      <c r="B373" s="687" t="s">
        <v>4783</v>
      </c>
    </row>
    <row r="374" spans="1:19" ht="17.25" thickBot="1">
      <c r="A374" s="722"/>
    </row>
    <row r="375" spans="1:19" ht="36" customHeight="1" thickBot="1">
      <c r="B375" s="723" t="s">
        <v>4784</v>
      </c>
      <c r="C375" s="724" t="s">
        <v>2890</v>
      </c>
      <c r="D375" s="724" t="s">
        <v>4785</v>
      </c>
      <c r="E375" s="724" t="s">
        <v>4786</v>
      </c>
      <c r="F375" s="724" t="s">
        <v>4787</v>
      </c>
    </row>
    <row r="376" spans="1:19" ht="27" thickBot="1">
      <c r="B376" s="725" t="s">
        <v>4788</v>
      </c>
      <c r="C376" s="718" t="s">
        <v>2896</v>
      </c>
      <c r="D376" s="718">
        <v>13.9</v>
      </c>
      <c r="E376" s="718">
        <v>13.9</v>
      </c>
      <c r="F376" s="718">
        <v>13.9</v>
      </c>
    </row>
    <row r="377" spans="1:19" ht="27" thickBot="1">
      <c r="B377" s="725" t="s">
        <v>4789</v>
      </c>
      <c r="C377" s="718" t="s">
        <v>4790</v>
      </c>
      <c r="D377" s="718">
        <v>6.2</v>
      </c>
      <c r="E377" s="718">
        <v>6.2</v>
      </c>
      <c r="F377" s="718">
        <v>6.2</v>
      </c>
    </row>
    <row r="378" spans="1:19" ht="15.75" thickBot="1">
      <c r="B378" s="725" t="s">
        <v>4791</v>
      </c>
      <c r="C378" s="718" t="s">
        <v>4512</v>
      </c>
      <c r="D378" s="718" t="s">
        <v>3568</v>
      </c>
      <c r="E378" s="718" t="s">
        <v>3568</v>
      </c>
      <c r="F378" s="718" t="s">
        <v>3568</v>
      </c>
    </row>
    <row r="379" spans="1:19" ht="15.75" thickBot="1">
      <c r="B379" s="725" t="s">
        <v>4792</v>
      </c>
      <c r="C379" s="718" t="s">
        <v>4512</v>
      </c>
      <c r="D379" s="718">
        <v>355</v>
      </c>
      <c r="E379" s="718">
        <v>355</v>
      </c>
      <c r="F379" s="718">
        <v>355</v>
      </c>
    </row>
    <row r="380" spans="1:19" ht="15.75" thickBot="1">
      <c r="B380" s="725" t="s">
        <v>4793</v>
      </c>
      <c r="C380" s="718" t="s">
        <v>4512</v>
      </c>
      <c r="D380" s="718">
        <v>258</v>
      </c>
      <c r="E380" s="718">
        <v>258</v>
      </c>
      <c r="F380" s="718">
        <v>258</v>
      </c>
    </row>
    <row r="381" spans="1:19">
      <c r="A381" s="620" t="s">
        <v>4794</v>
      </c>
    </row>
    <row r="382" spans="1:19" ht="18.75">
      <c r="B382" s="726" t="s">
        <v>4795</v>
      </c>
    </row>
    <row r="383" spans="1:19" ht="15.75" thickBot="1">
      <c r="A383" s="620"/>
    </row>
    <row r="384" spans="1:19" ht="24" thickBot="1">
      <c r="A384" s="727" t="s">
        <v>2317</v>
      </c>
      <c r="B384" s="728" t="s">
        <v>4796</v>
      </c>
      <c r="C384" s="728" t="s">
        <v>4797</v>
      </c>
      <c r="D384" s="1818" t="s">
        <v>4798</v>
      </c>
      <c r="E384" s="1819"/>
      <c r="F384" s="1819"/>
      <c r="G384" s="1819"/>
      <c r="H384" s="1819"/>
      <c r="I384" s="1819"/>
      <c r="J384" s="1819"/>
      <c r="K384" s="1819"/>
      <c r="L384" s="1819"/>
      <c r="M384" s="1819"/>
      <c r="N384" s="1819"/>
      <c r="O384" s="1819"/>
      <c r="P384" s="1819"/>
      <c r="Q384" s="1819"/>
      <c r="R384" s="1819"/>
      <c r="S384" s="1820"/>
    </row>
    <row r="385" spans="1:19" ht="15.75" customHeight="1" thickBot="1">
      <c r="A385" s="729" t="s">
        <v>2325</v>
      </c>
      <c r="B385" s="730" t="s">
        <v>4799</v>
      </c>
      <c r="C385" s="730" t="s">
        <v>4800</v>
      </c>
      <c r="D385" s="1831" t="s">
        <v>4801</v>
      </c>
      <c r="E385" s="1831" t="s">
        <v>4802</v>
      </c>
      <c r="F385" s="1818" t="s">
        <v>4803</v>
      </c>
      <c r="G385" s="1819"/>
      <c r="H385" s="1819"/>
      <c r="I385" s="1819"/>
      <c r="J385" s="1820"/>
      <c r="K385" s="1831" t="s">
        <v>689</v>
      </c>
      <c r="L385" s="1831" t="s">
        <v>4801</v>
      </c>
      <c r="M385" s="1831" t="s">
        <v>4802</v>
      </c>
      <c r="N385" s="1818" t="s">
        <v>4803</v>
      </c>
      <c r="O385" s="1819"/>
      <c r="P385" s="1819"/>
      <c r="Q385" s="1819"/>
      <c r="R385" s="1820"/>
      <c r="S385" s="1831" t="s">
        <v>689</v>
      </c>
    </row>
    <row r="386" spans="1:19">
      <c r="A386" s="731"/>
      <c r="B386" s="694"/>
      <c r="C386" s="730" t="s">
        <v>4804</v>
      </c>
      <c r="D386" s="1832"/>
      <c r="E386" s="1832"/>
      <c r="F386" s="730" t="s">
        <v>4805</v>
      </c>
      <c r="G386" s="730" t="s">
        <v>4806</v>
      </c>
      <c r="H386" s="730" t="s">
        <v>4807</v>
      </c>
      <c r="I386" s="730" t="s">
        <v>4808</v>
      </c>
      <c r="J386" s="1831" t="s">
        <v>2891</v>
      </c>
      <c r="K386" s="1832"/>
      <c r="L386" s="1832"/>
      <c r="M386" s="1832"/>
      <c r="N386" s="732" t="s">
        <v>4805</v>
      </c>
      <c r="O386" s="732" t="s">
        <v>4806</v>
      </c>
      <c r="P386" s="730" t="s">
        <v>4807</v>
      </c>
      <c r="Q386" s="730" t="s">
        <v>4808</v>
      </c>
      <c r="R386" s="1831" t="s">
        <v>2891</v>
      </c>
      <c r="S386" s="1832"/>
    </row>
    <row r="387" spans="1:19" ht="15.75" thickBot="1">
      <c r="A387" s="731"/>
      <c r="B387" s="694"/>
      <c r="C387" s="695"/>
      <c r="D387" s="1833"/>
      <c r="E387" s="1833"/>
      <c r="F387" s="702" t="s">
        <v>4809</v>
      </c>
      <c r="G387" s="702" t="s">
        <v>4809</v>
      </c>
      <c r="H387" s="702" t="s">
        <v>4809</v>
      </c>
      <c r="I387" s="702" t="s">
        <v>4809</v>
      </c>
      <c r="J387" s="1833"/>
      <c r="K387" s="1833"/>
      <c r="L387" s="1833"/>
      <c r="M387" s="1833"/>
      <c r="N387" s="703" t="s">
        <v>4809</v>
      </c>
      <c r="O387" s="703" t="s">
        <v>4809</v>
      </c>
      <c r="P387" s="702" t="s">
        <v>4809</v>
      </c>
      <c r="Q387" s="702" t="s">
        <v>4809</v>
      </c>
      <c r="R387" s="1833"/>
      <c r="S387" s="1833"/>
    </row>
    <row r="388" spans="1:19" ht="15.75" thickBot="1">
      <c r="A388" s="733"/>
      <c r="B388" s="695"/>
      <c r="C388" s="734" t="s">
        <v>4810</v>
      </c>
      <c r="D388" s="1828" t="s">
        <v>4811</v>
      </c>
      <c r="E388" s="1829"/>
      <c r="F388" s="1829"/>
      <c r="G388" s="1829"/>
      <c r="H388" s="1829"/>
      <c r="I388" s="1829"/>
      <c r="J388" s="1829"/>
      <c r="K388" s="1830"/>
      <c r="L388" s="1828" t="s">
        <v>4810</v>
      </c>
      <c r="M388" s="1829"/>
      <c r="N388" s="1829"/>
      <c r="O388" s="1829"/>
      <c r="P388" s="1829"/>
      <c r="Q388" s="1829"/>
      <c r="R388" s="1829"/>
      <c r="S388" s="1830"/>
    </row>
    <row r="389" spans="1:19" ht="15.75" thickBot="1">
      <c r="A389" s="735">
        <v>1</v>
      </c>
      <c r="B389" s="734">
        <v>2</v>
      </c>
      <c r="C389" s="734">
        <v>3</v>
      </c>
      <c r="D389" s="734">
        <v>4</v>
      </c>
      <c r="E389" s="734">
        <v>5</v>
      </c>
      <c r="F389" s="734">
        <v>6</v>
      </c>
      <c r="G389" s="734">
        <v>7</v>
      </c>
      <c r="H389" s="734">
        <v>8</v>
      </c>
      <c r="I389" s="734">
        <v>9</v>
      </c>
      <c r="J389" s="734">
        <v>10</v>
      </c>
      <c r="K389" s="734">
        <v>11</v>
      </c>
      <c r="L389" s="734">
        <v>12</v>
      </c>
      <c r="M389" s="734">
        <v>13</v>
      </c>
      <c r="N389" s="734">
        <v>14</v>
      </c>
      <c r="O389" s="736">
        <v>15</v>
      </c>
      <c r="P389" s="734">
        <v>16</v>
      </c>
      <c r="Q389" s="734">
        <v>17</v>
      </c>
      <c r="R389" s="734">
        <v>18</v>
      </c>
      <c r="S389" s="734">
        <v>19</v>
      </c>
    </row>
    <row r="390" spans="1:19" ht="15.75" thickBot="1">
      <c r="A390" s="700"/>
      <c r="B390" s="701" t="s">
        <v>4812</v>
      </c>
      <c r="C390" s="702" t="s">
        <v>3568</v>
      </c>
      <c r="D390" s="702" t="s">
        <v>3568</v>
      </c>
      <c r="E390" s="702" t="s">
        <v>3568</v>
      </c>
      <c r="F390" s="702" t="s">
        <v>3568</v>
      </c>
      <c r="G390" s="702" t="s">
        <v>3568</v>
      </c>
      <c r="H390" s="702" t="s">
        <v>3568</v>
      </c>
      <c r="I390" s="702" t="s">
        <v>3568</v>
      </c>
      <c r="J390" s="702" t="s">
        <v>3568</v>
      </c>
      <c r="K390" s="702" t="s">
        <v>3568</v>
      </c>
      <c r="L390" s="702" t="s">
        <v>3568</v>
      </c>
      <c r="M390" s="702" t="s">
        <v>3568</v>
      </c>
      <c r="N390" s="702" t="s">
        <v>3568</v>
      </c>
      <c r="O390" s="737"/>
      <c r="P390" s="702" t="s">
        <v>3568</v>
      </c>
      <c r="Q390" s="702" t="s">
        <v>3568</v>
      </c>
      <c r="R390" s="702" t="s">
        <v>3568</v>
      </c>
      <c r="S390" s="702" t="s">
        <v>3568</v>
      </c>
    </row>
    <row r="391" spans="1:19" ht="15.75" thickBot="1">
      <c r="A391" s="738">
        <v>1</v>
      </c>
      <c r="B391" s="701" t="s">
        <v>4517</v>
      </c>
      <c r="C391" s="702" t="s">
        <v>3568</v>
      </c>
      <c r="D391" s="702" t="s">
        <v>3568</v>
      </c>
      <c r="E391" s="702" t="s">
        <v>3568</v>
      </c>
      <c r="F391" s="702" t="s">
        <v>3568</v>
      </c>
      <c r="G391" s="702" t="s">
        <v>3568</v>
      </c>
      <c r="H391" s="702" t="s">
        <v>3568</v>
      </c>
      <c r="I391" s="702" t="s">
        <v>3568</v>
      </c>
      <c r="J391" s="702" t="s">
        <v>3568</v>
      </c>
      <c r="K391" s="702" t="s">
        <v>3568</v>
      </c>
      <c r="L391" s="702" t="s">
        <v>3568</v>
      </c>
      <c r="M391" s="702" t="s">
        <v>3568</v>
      </c>
      <c r="N391" s="702" t="s">
        <v>3568</v>
      </c>
      <c r="O391" s="737"/>
      <c r="P391" s="702" t="s">
        <v>3568</v>
      </c>
      <c r="Q391" s="702" t="s">
        <v>3568</v>
      </c>
      <c r="R391" s="702" t="s">
        <v>3568</v>
      </c>
      <c r="S391" s="702" t="s">
        <v>3568</v>
      </c>
    </row>
    <row r="392" spans="1:19" ht="23.25" thickBot="1">
      <c r="A392" s="738" t="s">
        <v>4813</v>
      </c>
      <c r="B392" s="701" t="s">
        <v>4519</v>
      </c>
      <c r="C392" s="702" t="s">
        <v>3568</v>
      </c>
      <c r="D392" s="702" t="s">
        <v>3568</v>
      </c>
      <c r="E392" s="702" t="s">
        <v>3568</v>
      </c>
      <c r="F392" s="702" t="s">
        <v>3568</v>
      </c>
      <c r="G392" s="702" t="s">
        <v>3568</v>
      </c>
      <c r="H392" s="702" t="s">
        <v>3568</v>
      </c>
      <c r="I392" s="702" t="s">
        <v>3568</v>
      </c>
      <c r="J392" s="702" t="s">
        <v>3568</v>
      </c>
      <c r="K392" s="702" t="s">
        <v>3568</v>
      </c>
      <c r="L392" s="702" t="s">
        <v>3568</v>
      </c>
      <c r="M392" s="702" t="s">
        <v>3568</v>
      </c>
      <c r="N392" s="702" t="s">
        <v>3568</v>
      </c>
      <c r="O392" s="737"/>
      <c r="P392" s="702" t="s">
        <v>3568</v>
      </c>
      <c r="Q392" s="702" t="s">
        <v>3568</v>
      </c>
      <c r="R392" s="702" t="s">
        <v>3568</v>
      </c>
      <c r="S392" s="702" t="s">
        <v>3568</v>
      </c>
    </row>
    <row r="393" spans="1:19" ht="15.75" thickBot="1">
      <c r="A393" s="739" t="s">
        <v>4814</v>
      </c>
      <c r="B393" s="704" t="s">
        <v>4520</v>
      </c>
      <c r="C393" s="702" t="s">
        <v>3568</v>
      </c>
      <c r="D393" s="702" t="s">
        <v>3568</v>
      </c>
      <c r="E393" s="702" t="s">
        <v>3568</v>
      </c>
      <c r="F393" s="702" t="s">
        <v>3568</v>
      </c>
      <c r="G393" s="702" t="s">
        <v>3568</v>
      </c>
      <c r="H393" s="702" t="s">
        <v>3568</v>
      </c>
      <c r="I393" s="702" t="s">
        <v>3568</v>
      </c>
      <c r="J393" s="702" t="s">
        <v>3568</v>
      </c>
      <c r="K393" s="702" t="s">
        <v>3568</v>
      </c>
      <c r="L393" s="702" t="s">
        <v>3568</v>
      </c>
      <c r="M393" s="702" t="s">
        <v>3568</v>
      </c>
      <c r="N393" s="701" t="s">
        <v>3568</v>
      </c>
      <c r="O393" s="737"/>
      <c r="P393" s="702" t="s">
        <v>3568</v>
      </c>
      <c r="Q393" s="702" t="s">
        <v>3568</v>
      </c>
      <c r="R393" s="702" t="s">
        <v>3568</v>
      </c>
      <c r="S393" s="702" t="s">
        <v>3568</v>
      </c>
    </row>
    <row r="395" spans="1:19">
      <c r="B395" s="740"/>
    </row>
    <row r="396" spans="1:19">
      <c r="B396" s="741"/>
    </row>
  </sheetData>
  <mergeCells count="48">
    <mergeCell ref="S345:V346"/>
    <mergeCell ref="R386:R387"/>
    <mergeCell ref="L388:S388"/>
    <mergeCell ref="S349:V349"/>
    <mergeCell ref="V347:V348"/>
    <mergeCell ref="N385:R385"/>
    <mergeCell ref="M385:M387"/>
    <mergeCell ref="O347:P348"/>
    <mergeCell ref="M347:N348"/>
    <mergeCell ref="D388:K388"/>
    <mergeCell ref="D385:D387"/>
    <mergeCell ref="K385:K387"/>
    <mergeCell ref="D384:S384"/>
    <mergeCell ref="L385:L387"/>
    <mergeCell ref="S385:S387"/>
    <mergeCell ref="J386:J387"/>
    <mergeCell ref="E385:E387"/>
    <mergeCell ref="B362:B363"/>
    <mergeCell ref="F385:J385"/>
    <mergeCell ref="B345:B349"/>
    <mergeCell ref="C345:C348"/>
    <mergeCell ref="D348:E348"/>
    <mergeCell ref="D345:E345"/>
    <mergeCell ref="D346:E346"/>
    <mergeCell ref="D347:E347"/>
    <mergeCell ref="A20:A22"/>
    <mergeCell ref="E287:F287"/>
    <mergeCell ref="A287:A288"/>
    <mergeCell ref="B20:B22"/>
    <mergeCell ref="C20:G20"/>
    <mergeCell ref="B287:B288"/>
    <mergeCell ref="C287:D287"/>
    <mergeCell ref="G287:H287"/>
    <mergeCell ref="C18:G18"/>
    <mergeCell ref="C23:G23"/>
    <mergeCell ref="Q347:R348"/>
    <mergeCell ref="K347:L348"/>
    <mergeCell ref="I345:I348"/>
    <mergeCell ref="K345:R346"/>
    <mergeCell ref="C19:G19"/>
    <mergeCell ref="A15:A16"/>
    <mergeCell ref="C10:G10"/>
    <mergeCell ref="C11:G11"/>
    <mergeCell ref="C12:G12"/>
    <mergeCell ref="B3:G3"/>
    <mergeCell ref="B4:G4"/>
    <mergeCell ref="A7:G7"/>
    <mergeCell ref="C9:G9"/>
  </mergeCells>
  <phoneticPr fontId="0" type="noConversion"/>
  <hyperlinks>
    <hyperlink ref="B1" location="Главная!A1" display="Переход на главную страницу"/>
    <hyperlink ref="C17" location="'п.п. 11 Ж'!R174C1" display="График 2015 см. ниже"/>
    <hyperlink ref="D17" location="'п.п. 11 Ж'!R247C1" display="График 2016 см. ниже"/>
    <hyperlink ref="C18:G18" location="'п.п. 11 Ж-1'!R1C1" display="Отчет"/>
    <hyperlink ref="B4" r:id="rId1" display="http://www.rsmenergo.ru/raskrytie/ooo-rostselmashenergo _x000a_"/>
    <hyperlink ref="E17" location="'п.п. 11 Ж'!R247C1" display="График 2016 см. ниже"/>
  </hyperlinks>
  <pageMargins left="0.7" right="0.7" top="0.75" bottom="0.75" header="0.3" footer="0.3"/>
  <pageSetup paperSize="9" scale="37" fitToHeight="0" orientation="landscape" r:id="rId2"/>
  <rowBreaks count="5" manualBreakCount="5">
    <brk id="6" max="16383" man="1"/>
    <brk id="14" max="16383" man="1"/>
    <brk id="98" max="16383" man="1"/>
    <brk id="174" max="16383" man="1"/>
    <brk id="372" max="16383" man="1"/>
  </rowBreaks>
</worksheet>
</file>

<file path=xl/worksheets/sheet24.xml><?xml version="1.0" encoding="utf-8"?>
<worksheet xmlns="http://schemas.openxmlformats.org/spreadsheetml/2006/main" xmlns:r="http://schemas.openxmlformats.org/officeDocument/2006/relationships">
  <dimension ref="A1:T100"/>
  <sheetViews>
    <sheetView view="pageBreakPreview" topLeftCell="A73" zoomScale="85" zoomScaleNormal="90" workbookViewId="0">
      <selection activeCell="J85" sqref="J85"/>
    </sheetView>
  </sheetViews>
  <sheetFormatPr defaultRowHeight="15"/>
  <cols>
    <col min="2" max="2" width="52.7109375" customWidth="1"/>
    <col min="3" max="4" width="17.7109375" customWidth="1"/>
    <col min="5" max="5" width="11.85546875" customWidth="1"/>
    <col min="6" max="6" width="13.28515625" customWidth="1"/>
    <col min="7" max="7" width="14.42578125" customWidth="1"/>
    <col min="14" max="14" width="10.7109375" bestFit="1" customWidth="1"/>
    <col min="17" max="17" width="9.28515625" bestFit="1" customWidth="1"/>
  </cols>
  <sheetData>
    <row r="1" spans="1:19" ht="15.75">
      <c r="B1" s="79" t="s">
        <v>724</v>
      </c>
      <c r="S1" t="s">
        <v>4815</v>
      </c>
    </row>
    <row r="4" spans="1:19" ht="15.75" thickBot="1">
      <c r="B4" s="742" t="s">
        <v>4816</v>
      </c>
      <c r="C4" s="742" t="s">
        <v>4817</v>
      </c>
    </row>
    <row r="5" spans="1:19" ht="16.5" thickBot="1">
      <c r="B5" s="743" t="s">
        <v>1459</v>
      </c>
      <c r="C5" s="744">
        <v>6166047727</v>
      </c>
      <c r="G5" s="1854" t="s">
        <v>4818</v>
      </c>
      <c r="H5" s="1593"/>
      <c r="I5" s="1593"/>
      <c r="J5" s="1593"/>
      <c r="K5" s="1593"/>
      <c r="L5" s="1593"/>
      <c r="M5" s="1593"/>
      <c r="N5" s="1593"/>
      <c r="O5" s="1593"/>
      <c r="P5" s="1593"/>
    </row>
    <row r="6" spans="1:19" ht="15.75" thickBot="1"/>
    <row r="7" spans="1:19" ht="15.75" thickBot="1">
      <c r="A7" s="1855" t="s">
        <v>3106</v>
      </c>
      <c r="B7" s="1855" t="s">
        <v>981</v>
      </c>
      <c r="C7" s="1857" t="s">
        <v>4819</v>
      </c>
      <c r="D7" s="1858"/>
      <c r="E7" s="1855" t="s">
        <v>4820</v>
      </c>
      <c r="F7" s="1862" t="s">
        <v>4821</v>
      </c>
      <c r="G7" s="1862" t="s">
        <v>4822</v>
      </c>
      <c r="H7" s="1864">
        <v>2010</v>
      </c>
      <c r="I7" s="1868"/>
      <c r="J7" s="1868"/>
      <c r="K7" s="1868"/>
      <c r="L7" s="1868"/>
      <c r="M7" s="1868"/>
      <c r="N7" s="1868"/>
      <c r="O7" s="1869"/>
      <c r="P7" s="1867" t="s">
        <v>4823</v>
      </c>
      <c r="Q7" s="1865"/>
      <c r="R7" s="1865"/>
      <c r="S7" s="1866"/>
    </row>
    <row r="8" spans="1:19" ht="45.75" thickBot="1">
      <c r="A8" s="1856"/>
      <c r="B8" s="1856"/>
      <c r="C8" s="743" t="s">
        <v>1810</v>
      </c>
      <c r="D8" s="743" t="s">
        <v>1811</v>
      </c>
      <c r="E8" s="1861"/>
      <c r="F8" s="1863"/>
      <c r="G8" s="1863"/>
      <c r="H8" s="745" t="s">
        <v>4824</v>
      </c>
      <c r="I8" s="745" t="s">
        <v>4825</v>
      </c>
      <c r="J8" s="745" t="s">
        <v>4826</v>
      </c>
      <c r="K8" s="745" t="s">
        <v>4827</v>
      </c>
      <c r="L8" s="745" t="s">
        <v>4828</v>
      </c>
      <c r="M8" s="745" t="s">
        <v>4829</v>
      </c>
      <c r="N8" s="745" t="s">
        <v>4830</v>
      </c>
      <c r="O8" s="745" t="s">
        <v>4831</v>
      </c>
      <c r="P8" s="745" t="s">
        <v>4832</v>
      </c>
      <c r="Q8" s="745" t="s">
        <v>4833</v>
      </c>
      <c r="R8" s="745" t="s">
        <v>4834</v>
      </c>
      <c r="S8" s="745" t="s">
        <v>4835</v>
      </c>
    </row>
    <row r="9" spans="1:19" ht="96" customHeight="1" thickBot="1">
      <c r="A9" s="746">
        <v>1</v>
      </c>
      <c r="B9" s="747" t="s">
        <v>2987</v>
      </c>
      <c r="C9" s="748">
        <v>40238</v>
      </c>
      <c r="D9" s="748">
        <v>40543</v>
      </c>
      <c r="E9" s="749">
        <v>6576.44</v>
      </c>
      <c r="F9" s="749">
        <v>6576.44</v>
      </c>
      <c r="G9" s="750">
        <f>I9+K9+M9+O9</f>
        <v>5786.23117</v>
      </c>
      <c r="H9" s="750">
        <v>784.95394220133494</v>
      </c>
      <c r="I9" s="750">
        <v>842.60117000000002</v>
      </c>
      <c r="J9" s="749">
        <v>2103.1972039135003</v>
      </c>
      <c r="K9" s="750">
        <v>363.56</v>
      </c>
      <c r="L9" s="749">
        <v>2805.0658685380131</v>
      </c>
      <c r="M9" s="750">
        <f>3360</f>
        <v>3360</v>
      </c>
      <c r="N9" s="750">
        <v>883.22298534715094</v>
      </c>
      <c r="O9" s="749">
        <v>1220.07</v>
      </c>
      <c r="P9" s="750">
        <v>3255.88</v>
      </c>
      <c r="Q9" s="750">
        <f>P9</f>
        <v>3255.88</v>
      </c>
      <c r="R9" s="750">
        <v>3320.56</v>
      </c>
      <c r="S9" s="751">
        <f>G9-Q9</f>
        <v>2530.3511699999999</v>
      </c>
    </row>
    <row r="10" spans="1:19" ht="15.75">
      <c r="B10" s="752" t="s">
        <v>2988</v>
      </c>
    </row>
    <row r="13" spans="1:19" ht="15.75" thickBot="1">
      <c r="B13" s="742" t="s">
        <v>4816</v>
      </c>
      <c r="C13" s="742" t="s">
        <v>4817</v>
      </c>
    </row>
    <row r="14" spans="1:19" ht="16.5" thickBot="1">
      <c r="B14" s="743" t="s">
        <v>1459</v>
      </c>
      <c r="C14" s="744">
        <v>6166047727</v>
      </c>
      <c r="G14" s="1854" t="s">
        <v>4818</v>
      </c>
      <c r="H14" s="1593"/>
      <c r="I14" s="1593"/>
      <c r="J14" s="1593"/>
      <c r="K14" s="1593"/>
      <c r="L14" s="1593"/>
      <c r="M14" s="1593"/>
      <c r="N14" s="1593"/>
      <c r="O14" s="1593"/>
      <c r="P14" s="1593"/>
    </row>
    <row r="15" spans="1:19" ht="15.75" thickBot="1"/>
    <row r="16" spans="1:19" ht="15.75" thickBot="1">
      <c r="A16" s="1855" t="s">
        <v>3106</v>
      </c>
      <c r="B16" s="1855" t="s">
        <v>981</v>
      </c>
      <c r="C16" s="1857" t="s">
        <v>4819</v>
      </c>
      <c r="D16" s="1858"/>
      <c r="E16" s="1859" t="s">
        <v>4820</v>
      </c>
      <c r="F16" s="1862" t="s">
        <v>2989</v>
      </c>
      <c r="G16" s="1862" t="s">
        <v>2990</v>
      </c>
      <c r="H16" s="1864">
        <v>2011</v>
      </c>
      <c r="I16" s="1868"/>
      <c r="J16" s="1868"/>
      <c r="K16" s="1868"/>
      <c r="L16" s="1868"/>
      <c r="M16" s="1868"/>
      <c r="N16" s="1868"/>
      <c r="O16" s="1869"/>
      <c r="P16" s="1867" t="s">
        <v>4823</v>
      </c>
      <c r="Q16" s="1865"/>
      <c r="R16" s="1865"/>
      <c r="S16" s="1866"/>
    </row>
    <row r="17" spans="1:20" ht="45.75" thickBot="1">
      <c r="A17" s="1856"/>
      <c r="B17" s="1856"/>
      <c r="C17" s="743" t="s">
        <v>1810</v>
      </c>
      <c r="D17" s="743" t="s">
        <v>1811</v>
      </c>
      <c r="E17" s="1860"/>
      <c r="F17" s="1863"/>
      <c r="G17" s="1863"/>
      <c r="H17" s="745" t="s">
        <v>4824</v>
      </c>
      <c r="I17" s="745" t="s">
        <v>4825</v>
      </c>
      <c r="J17" s="745" t="s">
        <v>4826</v>
      </c>
      <c r="K17" s="745" t="s">
        <v>4827</v>
      </c>
      <c r="L17" s="745" t="s">
        <v>4828</v>
      </c>
      <c r="M17" s="745" t="s">
        <v>4829</v>
      </c>
      <c r="N17" s="745" t="s">
        <v>4830</v>
      </c>
      <c r="O17" s="745" t="s">
        <v>4831</v>
      </c>
      <c r="P17" s="745" t="s">
        <v>4832</v>
      </c>
      <c r="Q17" s="745" t="s">
        <v>4833</v>
      </c>
      <c r="R17" s="745" t="s">
        <v>4834</v>
      </c>
      <c r="S17" s="745" t="s">
        <v>4835</v>
      </c>
    </row>
    <row r="18" spans="1:20" ht="60" customHeight="1" thickBot="1">
      <c r="A18" s="746">
        <v>1</v>
      </c>
      <c r="B18" s="747" t="s">
        <v>2991</v>
      </c>
      <c r="C18" s="748">
        <v>40695</v>
      </c>
      <c r="D18" s="748">
        <v>40908</v>
      </c>
      <c r="E18" s="750">
        <v>3481.75419303028</v>
      </c>
      <c r="F18" s="750">
        <f>H18+J18+L18+N18</f>
        <v>3481.75419303028</v>
      </c>
      <c r="G18" s="750">
        <f>I18+K18+M18+O18</f>
        <v>4240.2571949152543</v>
      </c>
      <c r="H18" s="750"/>
      <c r="I18" s="750">
        <v>389.41821186440683</v>
      </c>
      <c r="J18" s="749">
        <v>290.14618275252332</v>
      </c>
      <c r="K18" s="750">
        <v>0</v>
      </c>
      <c r="L18" s="749">
        <v>1740.87709651514</v>
      </c>
      <c r="M18" s="750">
        <f>3579.75/1.18</f>
        <v>3033.6864406779664</v>
      </c>
      <c r="N18" s="750">
        <v>1450.7309137626166</v>
      </c>
      <c r="O18" s="749">
        <f>964.24/1.18</f>
        <v>817.15254237288138</v>
      </c>
      <c r="P18" s="750">
        <v>3481.75419303028</v>
      </c>
      <c r="Q18" s="750">
        <v>3524.64</v>
      </c>
      <c r="R18" s="750">
        <v>0</v>
      </c>
      <c r="S18" s="751">
        <f>G18-Q18</f>
        <v>715.61719491525446</v>
      </c>
    </row>
    <row r="21" spans="1:20" ht="15.75" thickBot="1">
      <c r="B21" s="742" t="s">
        <v>4816</v>
      </c>
      <c r="C21" s="742" t="s">
        <v>4817</v>
      </c>
    </row>
    <row r="22" spans="1:20" ht="16.5" thickBot="1">
      <c r="B22" s="743" t="s">
        <v>1459</v>
      </c>
      <c r="C22" s="744">
        <v>6166047727</v>
      </c>
      <c r="G22" s="1854" t="s">
        <v>4818</v>
      </c>
      <c r="H22" s="1593"/>
      <c r="I22" s="1593"/>
      <c r="J22" s="1593"/>
      <c r="K22" s="1593"/>
      <c r="L22" s="1593"/>
      <c r="M22" s="1593"/>
      <c r="N22" s="1593"/>
      <c r="O22" s="1593"/>
      <c r="P22" s="1593"/>
      <c r="Q22" s="1593"/>
    </row>
    <row r="23" spans="1:20" ht="15.75" thickBot="1">
      <c r="S23" t="s">
        <v>2992</v>
      </c>
    </row>
    <row r="24" spans="1:20" ht="15.75" thickBot="1">
      <c r="A24" s="1855" t="s">
        <v>3106</v>
      </c>
      <c r="B24" s="1855" t="s">
        <v>981</v>
      </c>
      <c r="C24" s="1857" t="s">
        <v>4819</v>
      </c>
      <c r="D24" s="1858"/>
      <c r="E24" s="1859" t="s">
        <v>4820</v>
      </c>
      <c r="F24" s="1859" t="s">
        <v>2993</v>
      </c>
      <c r="G24" s="1862" t="s">
        <v>2994</v>
      </c>
      <c r="H24" s="1864">
        <v>2012</v>
      </c>
      <c r="I24" s="1865"/>
      <c r="J24" s="1865"/>
      <c r="K24" s="1865"/>
      <c r="L24" s="1865"/>
      <c r="M24" s="1865"/>
      <c r="N24" s="1865"/>
      <c r="O24" s="1865"/>
      <c r="P24" s="1866"/>
      <c r="Q24" s="1867" t="s">
        <v>2995</v>
      </c>
      <c r="R24" s="1865"/>
      <c r="S24" s="1865"/>
      <c r="T24" s="1866"/>
    </row>
    <row r="25" spans="1:20" ht="45.75" thickBot="1">
      <c r="A25" s="1856"/>
      <c r="B25" s="1856"/>
      <c r="C25" s="743" t="s">
        <v>1810</v>
      </c>
      <c r="D25" s="743" t="s">
        <v>1811</v>
      </c>
      <c r="E25" s="1860"/>
      <c r="F25" s="1861"/>
      <c r="G25" s="1863"/>
      <c r="H25" s="753" t="s">
        <v>3100</v>
      </c>
      <c r="I25" s="745" t="s">
        <v>4824</v>
      </c>
      <c r="J25" s="745" t="s">
        <v>4825</v>
      </c>
      <c r="K25" s="745" t="s">
        <v>4826</v>
      </c>
      <c r="L25" s="745" t="s">
        <v>4827</v>
      </c>
      <c r="M25" s="745" t="s">
        <v>4828</v>
      </c>
      <c r="N25" s="745" t="s">
        <v>4829</v>
      </c>
      <c r="O25" s="745" t="s">
        <v>4830</v>
      </c>
      <c r="P25" s="745" t="s">
        <v>4831</v>
      </c>
      <c r="Q25" s="745" t="s">
        <v>4832</v>
      </c>
      <c r="R25" s="745" t="s">
        <v>4833</v>
      </c>
      <c r="S25" s="745" t="s">
        <v>4834</v>
      </c>
      <c r="T25" s="745" t="s">
        <v>4835</v>
      </c>
    </row>
    <row r="26" spans="1:20">
      <c r="A26" s="1849">
        <v>1</v>
      </c>
      <c r="B26" s="1852" t="s">
        <v>2996</v>
      </c>
      <c r="C26" s="1853">
        <v>40940</v>
      </c>
      <c r="D26" s="1853">
        <v>41243</v>
      </c>
      <c r="E26" s="1843">
        <v>8063.84</v>
      </c>
      <c r="F26" s="1843">
        <v>3481.75</v>
      </c>
      <c r="G26" s="1843">
        <f>J26+L26+N26+P26+J27+J28+L27+L28+N27+N28+P27+P28</f>
        <v>3466.7076016949154</v>
      </c>
      <c r="H26" s="754">
        <v>1</v>
      </c>
      <c r="I26" s="1843">
        <v>962.48775892136405</v>
      </c>
      <c r="J26" s="755">
        <v>0</v>
      </c>
      <c r="K26" s="1843">
        <v>2578.8794151251805</v>
      </c>
      <c r="L26" s="755">
        <v>39.285932203389834</v>
      </c>
      <c r="M26" s="1843">
        <v>3439.4904162968983</v>
      </c>
      <c r="N26" s="755">
        <v>787.16013559322039</v>
      </c>
      <c r="O26" s="1843">
        <v>1082.9824096565601</v>
      </c>
      <c r="P26" s="756">
        <v>50</v>
      </c>
      <c r="Q26" s="1843">
        <v>3481.75</v>
      </c>
      <c r="R26" s="1843">
        <f>+G26</f>
        <v>3466.7076016949154</v>
      </c>
      <c r="S26" s="1843">
        <v>0</v>
      </c>
      <c r="T26" s="1846">
        <v>0</v>
      </c>
    </row>
    <row r="27" spans="1:20">
      <c r="A27" s="1850"/>
      <c r="B27" s="1844"/>
      <c r="C27" s="1844"/>
      <c r="D27" s="1844"/>
      <c r="E27" s="1844"/>
      <c r="F27" s="1844"/>
      <c r="G27" s="1844"/>
      <c r="H27" s="757">
        <v>2</v>
      </c>
      <c r="I27" s="1844"/>
      <c r="J27" s="758">
        <v>235.35</v>
      </c>
      <c r="K27" s="1844"/>
      <c r="L27" s="758">
        <v>53.295779661016951</v>
      </c>
      <c r="M27" s="1844"/>
      <c r="N27" s="758">
        <v>655.77956779661019</v>
      </c>
      <c r="O27" s="1844"/>
      <c r="P27" s="757">
        <v>195.8</v>
      </c>
      <c r="Q27" s="1844"/>
      <c r="R27" s="1844"/>
      <c r="S27" s="1844"/>
      <c r="T27" s="1847"/>
    </row>
    <row r="28" spans="1:20" ht="15.75" thickBot="1">
      <c r="A28" s="1851"/>
      <c r="B28" s="1845"/>
      <c r="C28" s="1845"/>
      <c r="D28" s="1845"/>
      <c r="E28" s="1845"/>
      <c r="F28" s="1845"/>
      <c r="G28" s="1845"/>
      <c r="H28" s="759">
        <v>3</v>
      </c>
      <c r="I28" s="1845"/>
      <c r="J28" s="760">
        <v>249.93741525423729</v>
      </c>
      <c r="K28" s="1845"/>
      <c r="L28" s="760">
        <v>917.77412711864406</v>
      </c>
      <c r="M28" s="1845"/>
      <c r="N28" s="760">
        <v>282.32464406779661</v>
      </c>
      <c r="O28" s="1845"/>
      <c r="P28" s="759">
        <v>0</v>
      </c>
      <c r="Q28" s="1845"/>
      <c r="R28" s="1845"/>
      <c r="S28" s="1845"/>
      <c r="T28" s="1848"/>
    </row>
    <row r="30" spans="1:20" s="603" customFormat="1"/>
    <row r="31" spans="1:20" s="603" customFormat="1" ht="15.75" thickBot="1">
      <c r="B31" s="742" t="s">
        <v>4816</v>
      </c>
      <c r="C31" s="742" t="s">
        <v>4817</v>
      </c>
    </row>
    <row r="32" spans="1:20" s="603" customFormat="1" ht="16.5" thickBot="1">
      <c r="B32" s="761" t="s">
        <v>1459</v>
      </c>
      <c r="C32" s="762">
        <v>6166047727</v>
      </c>
      <c r="G32" s="1854" t="s">
        <v>4818</v>
      </c>
      <c r="H32" s="1593"/>
      <c r="I32" s="1593"/>
      <c r="J32" s="1593"/>
      <c r="K32" s="1593"/>
      <c r="L32" s="1593"/>
      <c r="M32" s="1593"/>
      <c r="N32" s="1593"/>
      <c r="O32" s="1593"/>
      <c r="P32" s="1593"/>
      <c r="Q32" s="1593"/>
    </row>
    <row r="33" spans="1:20" s="603" customFormat="1" ht="15.75" thickBot="1">
      <c r="S33" s="603" t="s">
        <v>2992</v>
      </c>
    </row>
    <row r="34" spans="1:20" ht="15.75" customHeight="1" thickBot="1">
      <c r="A34" s="1855" t="s">
        <v>3106</v>
      </c>
      <c r="B34" s="1855" t="s">
        <v>981</v>
      </c>
      <c r="C34" s="1857" t="s">
        <v>4819</v>
      </c>
      <c r="D34" s="1858"/>
      <c r="E34" s="1859" t="s">
        <v>4820</v>
      </c>
      <c r="F34" s="1859" t="s">
        <v>2997</v>
      </c>
      <c r="G34" s="1862" t="s">
        <v>2998</v>
      </c>
      <c r="H34" s="1864">
        <v>2013</v>
      </c>
      <c r="I34" s="1865"/>
      <c r="J34" s="1865"/>
      <c r="K34" s="1865"/>
      <c r="L34" s="1865"/>
      <c r="M34" s="1865"/>
      <c r="N34" s="1865"/>
      <c r="O34" s="1865"/>
      <c r="P34" s="1866"/>
      <c r="Q34" s="1867" t="s">
        <v>2995</v>
      </c>
      <c r="R34" s="1865"/>
      <c r="S34" s="1865"/>
      <c r="T34" s="1866"/>
    </row>
    <row r="35" spans="1:20" ht="45.75" thickBot="1">
      <c r="A35" s="1856"/>
      <c r="B35" s="1856"/>
      <c r="C35" s="743" t="s">
        <v>1810</v>
      </c>
      <c r="D35" s="743" t="s">
        <v>1811</v>
      </c>
      <c r="E35" s="1860"/>
      <c r="F35" s="1861"/>
      <c r="G35" s="1863"/>
      <c r="H35" s="753" t="s">
        <v>3100</v>
      </c>
      <c r="I35" s="745" t="s">
        <v>4824</v>
      </c>
      <c r="J35" s="745" t="s">
        <v>4825</v>
      </c>
      <c r="K35" s="745" t="s">
        <v>4826</v>
      </c>
      <c r="L35" s="745" t="s">
        <v>4827</v>
      </c>
      <c r="M35" s="745" t="s">
        <v>4828</v>
      </c>
      <c r="N35" s="745" t="s">
        <v>4829</v>
      </c>
      <c r="O35" s="745" t="s">
        <v>4830</v>
      </c>
      <c r="P35" s="745" t="s">
        <v>4831</v>
      </c>
      <c r="Q35" s="745" t="s">
        <v>4832</v>
      </c>
      <c r="R35" s="745" t="s">
        <v>4833</v>
      </c>
      <c r="S35" s="745" t="s">
        <v>4834</v>
      </c>
      <c r="T35" s="745" t="s">
        <v>4835</v>
      </c>
    </row>
    <row r="36" spans="1:20">
      <c r="A36" s="1849">
        <v>1</v>
      </c>
      <c r="B36" s="1852" t="s">
        <v>2996</v>
      </c>
      <c r="C36" s="1853">
        <v>41275</v>
      </c>
      <c r="D36" s="1853">
        <v>41639</v>
      </c>
      <c r="E36" s="1843">
        <v>3481.75</v>
      </c>
      <c r="F36" s="1843">
        <v>3481.75</v>
      </c>
      <c r="G36" s="1843">
        <f>J36+L36+N36+P36+J37+J38+L37+L38+N37+N38+P37+P38</f>
        <v>3512.2180839830512</v>
      </c>
      <c r="H36" s="754">
        <v>1</v>
      </c>
      <c r="I36" s="1843">
        <v>296</v>
      </c>
      <c r="J36" s="755">
        <f>11.42038/1.18</f>
        <v>9.6782881355932204</v>
      </c>
      <c r="K36" s="1843">
        <v>1398</v>
      </c>
      <c r="L36" s="755">
        <v>0</v>
      </c>
      <c r="M36" s="1843">
        <v>1787.75</v>
      </c>
      <c r="N36" s="755">
        <f>1426.03632/1.18</f>
        <v>1208.5053559322034</v>
      </c>
      <c r="O36" s="1843">
        <v>0</v>
      </c>
      <c r="P36" s="756">
        <v>0</v>
      </c>
      <c r="Q36" s="1843">
        <v>3481.75</v>
      </c>
      <c r="R36" s="1843">
        <v>2197.2477699999999</v>
      </c>
      <c r="S36" s="1843">
        <v>0</v>
      </c>
      <c r="T36" s="1846">
        <v>1314.9703139830499</v>
      </c>
    </row>
    <row r="37" spans="1:20">
      <c r="A37" s="1850"/>
      <c r="B37" s="1844"/>
      <c r="C37" s="1844"/>
      <c r="D37" s="1844"/>
      <c r="E37" s="1844"/>
      <c r="F37" s="1844"/>
      <c r="G37" s="1844"/>
      <c r="H37" s="757">
        <v>2</v>
      </c>
      <c r="I37" s="1844"/>
      <c r="J37" s="758">
        <f>91.32306/1.18</f>
        <v>77.392423728813569</v>
      </c>
      <c r="K37" s="1844"/>
      <c r="L37" s="758">
        <f>440.63499/1.18</f>
        <v>373.41948305084748</v>
      </c>
      <c r="M37" s="1844"/>
      <c r="N37" s="758">
        <v>958.62074500000006</v>
      </c>
      <c r="O37" s="1844"/>
      <c r="P37" s="757">
        <v>0</v>
      </c>
      <c r="Q37" s="1844"/>
      <c r="R37" s="1844"/>
      <c r="S37" s="1844"/>
      <c r="T37" s="1847"/>
    </row>
    <row r="38" spans="1:20" ht="15.75" thickBot="1">
      <c r="A38" s="1851"/>
      <c r="B38" s="1845"/>
      <c r="C38" s="1845"/>
      <c r="D38" s="1845"/>
      <c r="E38" s="1845"/>
      <c r="F38" s="1845"/>
      <c r="G38" s="1845"/>
      <c r="H38" s="759">
        <v>3</v>
      </c>
      <c r="I38" s="1845"/>
      <c r="J38" s="760">
        <f>279.17854/1.18</f>
        <v>236.59198305084746</v>
      </c>
      <c r="K38" s="1845"/>
      <c r="L38" s="760">
        <f>(763.83907+0.8125)/1.18</f>
        <v>648.00980508474584</v>
      </c>
      <c r="M38" s="1845"/>
      <c r="N38" s="760">
        <v>0</v>
      </c>
      <c r="O38" s="1845"/>
      <c r="P38" s="759">
        <v>0</v>
      </c>
      <c r="Q38" s="1845"/>
      <c r="R38" s="1845"/>
      <c r="S38" s="1845"/>
      <c r="T38" s="1848"/>
    </row>
    <row r="41" spans="1:20" ht="15.75" thickBot="1">
      <c r="B41" s="742" t="s">
        <v>4816</v>
      </c>
      <c r="C41" s="742" t="s">
        <v>4817</v>
      </c>
    </row>
    <row r="42" spans="1:20" ht="16.5" thickBot="1">
      <c r="B42" s="743" t="s">
        <v>1459</v>
      </c>
      <c r="C42" s="744">
        <v>6166047727</v>
      </c>
      <c r="G42" s="1854" t="s">
        <v>4818</v>
      </c>
      <c r="H42" s="1593"/>
      <c r="I42" s="1593"/>
      <c r="J42" s="1593"/>
      <c r="K42" s="1593"/>
      <c r="L42" s="1593"/>
      <c r="M42" s="1593"/>
      <c r="N42" s="1593"/>
      <c r="O42" s="1593"/>
      <c r="P42" s="1593"/>
      <c r="Q42" s="1593"/>
    </row>
    <row r="43" spans="1:20" ht="15.75" thickBot="1">
      <c r="S43" t="s">
        <v>2992</v>
      </c>
    </row>
    <row r="44" spans="1:20" ht="15.75" customHeight="1" thickBot="1">
      <c r="A44" s="1855" t="s">
        <v>3106</v>
      </c>
      <c r="B44" s="1855" t="s">
        <v>981</v>
      </c>
      <c r="C44" s="1857" t="s">
        <v>4819</v>
      </c>
      <c r="D44" s="1858"/>
      <c r="E44" s="1859" t="s">
        <v>4820</v>
      </c>
      <c r="F44" s="1859" t="s">
        <v>2999</v>
      </c>
      <c r="G44" s="1862" t="s">
        <v>3000</v>
      </c>
      <c r="H44" s="1864">
        <v>2014</v>
      </c>
      <c r="I44" s="1865"/>
      <c r="J44" s="1865"/>
      <c r="K44" s="1865"/>
      <c r="L44" s="1865"/>
      <c r="M44" s="1865"/>
      <c r="N44" s="1865"/>
      <c r="O44" s="1865"/>
      <c r="P44" s="1866"/>
      <c r="Q44" s="1867" t="s">
        <v>2995</v>
      </c>
      <c r="R44" s="1865"/>
      <c r="S44" s="1865"/>
      <c r="T44" s="1866"/>
    </row>
    <row r="45" spans="1:20" ht="45.75" thickBot="1">
      <c r="A45" s="1856"/>
      <c r="B45" s="1856"/>
      <c r="C45" s="743" t="s">
        <v>1810</v>
      </c>
      <c r="D45" s="743" t="s">
        <v>1811</v>
      </c>
      <c r="E45" s="1860"/>
      <c r="F45" s="1861"/>
      <c r="G45" s="1863"/>
      <c r="H45" s="753" t="s">
        <v>3100</v>
      </c>
      <c r="I45" s="745" t="s">
        <v>4824</v>
      </c>
      <c r="J45" s="745" t="s">
        <v>4825</v>
      </c>
      <c r="K45" s="745" t="s">
        <v>4826</v>
      </c>
      <c r="L45" s="745" t="s">
        <v>4827</v>
      </c>
      <c r="M45" s="745" t="s">
        <v>4828</v>
      </c>
      <c r="N45" s="745" t="s">
        <v>4829</v>
      </c>
      <c r="O45" s="745" t="s">
        <v>4830</v>
      </c>
      <c r="P45" s="745" t="s">
        <v>4831</v>
      </c>
      <c r="Q45" s="745" t="s">
        <v>4832</v>
      </c>
      <c r="R45" s="745" t="s">
        <v>4833</v>
      </c>
      <c r="S45" s="745" t="s">
        <v>4834</v>
      </c>
      <c r="T45" s="745" t="s">
        <v>4835</v>
      </c>
    </row>
    <row r="46" spans="1:20">
      <c r="A46" s="1849">
        <v>1</v>
      </c>
      <c r="B46" s="1852" t="s">
        <v>2996</v>
      </c>
      <c r="C46" s="1853">
        <v>41640</v>
      </c>
      <c r="D46" s="1853">
        <v>42004</v>
      </c>
      <c r="E46" s="1843">
        <f>+Q46+S46</f>
        <v>6748</v>
      </c>
      <c r="F46" s="1843">
        <f>+E46</f>
        <v>6748</v>
      </c>
      <c r="G46" s="1843">
        <f>J46+L46+N46+P46+J47+J48+L47+L48+N47+N48+P47+P48</f>
        <v>6756.4739661016956</v>
      </c>
      <c r="H46" s="754">
        <v>1</v>
      </c>
      <c r="I46" s="1843">
        <v>577.75762711864411</v>
      </c>
      <c r="J46" s="755">
        <v>0</v>
      </c>
      <c r="K46" s="1843">
        <v>5710.0372881355897</v>
      </c>
      <c r="L46" s="755">
        <f>453.10329/1.18</f>
        <v>383.98583898305088</v>
      </c>
      <c r="M46" s="1843">
        <v>460.20508474576269</v>
      </c>
      <c r="N46" s="755">
        <f>350/1.18</f>
        <v>296.61016949152543</v>
      </c>
      <c r="O46" s="1843">
        <v>0</v>
      </c>
      <c r="P46" s="763">
        <f>155.963/1.18</f>
        <v>132.17203389830507</v>
      </c>
      <c r="Q46" s="1843">
        <v>3482</v>
      </c>
      <c r="R46" s="1843">
        <v>2252.3728700000001</v>
      </c>
      <c r="S46" s="1843">
        <v>3266</v>
      </c>
      <c r="T46" s="1846">
        <f>+G46-R46</f>
        <v>4504.1010961016955</v>
      </c>
    </row>
    <row r="47" spans="1:20">
      <c r="A47" s="1850"/>
      <c r="B47" s="1844"/>
      <c r="C47" s="1844"/>
      <c r="D47" s="1844"/>
      <c r="E47" s="1844"/>
      <c r="F47" s="1844"/>
      <c r="G47" s="1844"/>
      <c r="H47" s="757">
        <v>2</v>
      </c>
      <c r="I47" s="1844"/>
      <c r="J47" s="758">
        <v>0</v>
      </c>
      <c r="K47" s="1844"/>
      <c r="L47" s="758">
        <f>3942.71226/1.18</f>
        <v>3341.2815762711866</v>
      </c>
      <c r="M47" s="1844"/>
      <c r="N47" s="758">
        <f>39.09955/1.18</f>
        <v>33.135211864406784</v>
      </c>
      <c r="O47" s="1844"/>
      <c r="P47" s="757">
        <f>59/1.18</f>
        <v>50</v>
      </c>
      <c r="Q47" s="1844"/>
      <c r="R47" s="1844"/>
      <c r="S47" s="1844"/>
      <c r="T47" s="1847"/>
    </row>
    <row r="48" spans="1:20" ht="15.75" thickBot="1">
      <c r="A48" s="1851"/>
      <c r="B48" s="1845"/>
      <c r="C48" s="1845"/>
      <c r="D48" s="1845"/>
      <c r="E48" s="1845"/>
      <c r="F48" s="1845"/>
      <c r="G48" s="1845"/>
      <c r="H48" s="759">
        <v>3</v>
      </c>
      <c r="I48" s="1845"/>
      <c r="J48" s="760">
        <f>681754/1.18/1000</f>
        <v>577.75762711864411</v>
      </c>
      <c r="K48" s="1845"/>
      <c r="L48" s="760">
        <f>(1993.02767-206.1864-98.06256)/1.18</f>
        <v>1431.1683983050846</v>
      </c>
      <c r="M48" s="1845"/>
      <c r="N48" s="764">
        <f>59/1.18</f>
        <v>50</v>
      </c>
      <c r="O48" s="1845"/>
      <c r="P48" s="760">
        <f>+(200000+108481.07+234747.4)/1000/1.18</f>
        <v>460.36311016949156</v>
      </c>
      <c r="Q48" s="1845"/>
      <c r="R48" s="1845"/>
      <c r="S48" s="1845"/>
      <c r="T48" s="1848"/>
    </row>
    <row r="51" spans="1:20" ht="15.75" thickBot="1">
      <c r="B51" s="742" t="s">
        <v>4816</v>
      </c>
      <c r="C51" s="742" t="s">
        <v>4817</v>
      </c>
    </row>
    <row r="52" spans="1:20" ht="16.5" thickBot="1">
      <c r="B52" s="743" t="s">
        <v>1459</v>
      </c>
      <c r="C52" s="744">
        <v>6166047727</v>
      </c>
      <c r="G52" s="1854" t="s">
        <v>4818</v>
      </c>
      <c r="H52" s="1593"/>
      <c r="I52" s="1593"/>
      <c r="J52" s="1593"/>
      <c r="K52" s="1593"/>
      <c r="L52" s="1593"/>
      <c r="M52" s="1593"/>
      <c r="N52" s="1593"/>
      <c r="O52" s="1593"/>
      <c r="P52" s="1593"/>
      <c r="Q52" s="1593"/>
    </row>
    <row r="53" spans="1:20" ht="15.75" thickBot="1">
      <c r="S53" t="s">
        <v>2992</v>
      </c>
    </row>
    <row r="54" spans="1:20" ht="15.75" thickBot="1">
      <c r="A54" s="1855" t="s">
        <v>3106</v>
      </c>
      <c r="B54" s="1855" t="s">
        <v>981</v>
      </c>
      <c r="C54" s="1857" t="s">
        <v>4819</v>
      </c>
      <c r="D54" s="1858"/>
      <c r="E54" s="1859" t="s">
        <v>4820</v>
      </c>
      <c r="F54" s="1859" t="s">
        <v>3001</v>
      </c>
      <c r="G54" s="1862" t="s">
        <v>3002</v>
      </c>
      <c r="H54" s="1864">
        <v>2015</v>
      </c>
      <c r="I54" s="1865"/>
      <c r="J54" s="1865"/>
      <c r="K54" s="1865"/>
      <c r="L54" s="1865"/>
      <c r="M54" s="1865"/>
      <c r="N54" s="1865"/>
      <c r="O54" s="1865"/>
      <c r="P54" s="1866"/>
      <c r="Q54" s="1867" t="s">
        <v>2995</v>
      </c>
      <c r="R54" s="1865"/>
      <c r="S54" s="1865"/>
      <c r="T54" s="1866"/>
    </row>
    <row r="55" spans="1:20" ht="45.75" thickBot="1">
      <c r="A55" s="1856"/>
      <c r="B55" s="1856"/>
      <c r="C55" s="743" t="s">
        <v>1810</v>
      </c>
      <c r="D55" s="743" t="s">
        <v>1811</v>
      </c>
      <c r="E55" s="1860"/>
      <c r="F55" s="1861"/>
      <c r="G55" s="1863"/>
      <c r="H55" s="753" t="s">
        <v>3100</v>
      </c>
      <c r="I55" s="745" t="s">
        <v>4824</v>
      </c>
      <c r="J55" s="745" t="s">
        <v>4825</v>
      </c>
      <c r="K55" s="745" t="s">
        <v>4826</v>
      </c>
      <c r="L55" s="745" t="s">
        <v>4827</v>
      </c>
      <c r="M55" s="745" t="s">
        <v>4828</v>
      </c>
      <c r="N55" s="745" t="s">
        <v>4829</v>
      </c>
      <c r="O55" s="745" t="s">
        <v>4830</v>
      </c>
      <c r="P55" s="745" t="s">
        <v>4831</v>
      </c>
      <c r="Q55" s="745" t="s">
        <v>4832</v>
      </c>
      <c r="R55" s="745" t="s">
        <v>4833</v>
      </c>
      <c r="S55" s="745" t="s">
        <v>4834</v>
      </c>
      <c r="T55" s="745" t="s">
        <v>4835</v>
      </c>
    </row>
    <row r="56" spans="1:20">
      <c r="A56" s="1849">
        <v>1</v>
      </c>
      <c r="B56" s="1852" t="s">
        <v>4663</v>
      </c>
      <c r="C56" s="1853">
        <v>42005</v>
      </c>
      <c r="D56" s="1853">
        <v>43830</v>
      </c>
      <c r="E56" s="1843">
        <f>+Q56+S56</f>
        <v>6892</v>
      </c>
      <c r="F56" s="1843">
        <f>+E56</f>
        <v>6892</v>
      </c>
      <c r="G56" s="1843">
        <f>J56+L56+N56+P56+J57+J58+L57+L58+N57+N58+P57+P58</f>
        <v>6883.0768474575543</v>
      </c>
      <c r="H56" s="754">
        <v>1</v>
      </c>
      <c r="I56" s="1843">
        <v>577.757627118644</v>
      </c>
      <c r="J56" s="755">
        <f>4515.02/1000/1.18</f>
        <v>3.826288135593221</v>
      </c>
      <c r="K56" s="1843">
        <v>5710.0372881355897</v>
      </c>
      <c r="L56" s="755">
        <v>236.584211864407</v>
      </c>
      <c r="M56" s="1843">
        <v>460.20508474576269</v>
      </c>
      <c r="N56" s="755">
        <v>13.7584745762711</v>
      </c>
      <c r="O56" s="1843">
        <v>0</v>
      </c>
      <c r="P56" s="763">
        <v>639.29546610169496</v>
      </c>
      <c r="Q56" s="1843">
        <v>1998</v>
      </c>
      <c r="R56" s="1843">
        <f>+Q56</f>
        <v>1998</v>
      </c>
      <c r="S56" s="1843">
        <v>4894</v>
      </c>
      <c r="T56" s="1846">
        <f>+G56-R56</f>
        <v>4885.0768474575543</v>
      </c>
    </row>
    <row r="57" spans="1:20">
      <c r="A57" s="1850"/>
      <c r="B57" s="1844"/>
      <c r="C57" s="1844"/>
      <c r="D57" s="1844"/>
      <c r="E57" s="1844"/>
      <c r="F57" s="1844"/>
      <c r="G57" s="1844"/>
      <c r="H57" s="757">
        <v>2</v>
      </c>
      <c r="I57" s="1844"/>
      <c r="J57" s="758">
        <v>138.93803389830501</v>
      </c>
      <c r="K57" s="1844"/>
      <c r="L57" s="758">
        <v>0.93800000000010497</v>
      </c>
      <c r="M57" s="1844"/>
      <c r="N57" s="758">
        <v>6.9999999999998996</v>
      </c>
      <c r="O57" s="1844"/>
      <c r="P57" s="757">
        <v>1025.39134745763</v>
      </c>
      <c r="Q57" s="1844"/>
      <c r="R57" s="1844"/>
      <c r="S57" s="1844"/>
      <c r="T57" s="1847"/>
    </row>
    <row r="58" spans="1:20" ht="15.75" thickBot="1">
      <c r="A58" s="1851"/>
      <c r="B58" s="1845"/>
      <c r="C58" s="1845"/>
      <c r="D58" s="1845"/>
      <c r="E58" s="1845"/>
      <c r="F58" s="1845"/>
      <c r="G58" s="1845"/>
      <c r="H58" s="759">
        <v>3</v>
      </c>
      <c r="I58" s="1845"/>
      <c r="J58" s="760">
        <v>367.21658474576299</v>
      </c>
      <c r="K58" s="1845"/>
      <c r="L58" s="760">
        <v>1068.767898305</v>
      </c>
      <c r="M58" s="1845"/>
      <c r="N58" s="764">
        <v>1130.45760169492</v>
      </c>
      <c r="O58" s="1845"/>
      <c r="P58" s="760">
        <v>2250.90294067797</v>
      </c>
      <c r="Q58" s="1845"/>
      <c r="R58" s="1845"/>
      <c r="S58" s="1845"/>
      <c r="T58" s="1848"/>
    </row>
    <row r="61" spans="1:20" ht="15.75" thickBot="1">
      <c r="B61" s="742" t="s">
        <v>4816</v>
      </c>
      <c r="C61" s="742" t="s">
        <v>4817</v>
      </c>
    </row>
    <row r="62" spans="1:20" ht="16.5" thickBot="1">
      <c r="B62" s="743" t="s">
        <v>1459</v>
      </c>
      <c r="C62" s="744">
        <v>6166047727</v>
      </c>
      <c r="G62" s="1854" t="s">
        <v>4818</v>
      </c>
      <c r="H62" s="1593"/>
      <c r="I62" s="1593"/>
      <c r="J62" s="1593"/>
      <c r="K62" s="1593"/>
      <c r="L62" s="1593"/>
      <c r="M62" s="1593"/>
      <c r="N62" s="1593"/>
      <c r="O62" s="1593"/>
      <c r="P62" s="1593"/>
      <c r="Q62" s="1593"/>
    </row>
    <row r="63" spans="1:20" ht="15.75" thickBot="1">
      <c r="S63" t="s">
        <v>2992</v>
      </c>
    </row>
    <row r="64" spans="1:20" ht="15.75" thickBot="1">
      <c r="A64" s="1855" t="s">
        <v>3106</v>
      </c>
      <c r="B64" s="1855" t="s">
        <v>981</v>
      </c>
      <c r="C64" s="1857" t="s">
        <v>4819</v>
      </c>
      <c r="D64" s="1858"/>
      <c r="E64" s="1859" t="s">
        <v>4820</v>
      </c>
      <c r="F64" s="1859" t="s">
        <v>3003</v>
      </c>
      <c r="G64" s="1862" t="s">
        <v>3004</v>
      </c>
      <c r="H64" s="1864">
        <v>2016</v>
      </c>
      <c r="I64" s="1865"/>
      <c r="J64" s="1865"/>
      <c r="K64" s="1865"/>
      <c r="L64" s="1865"/>
      <c r="M64" s="1865"/>
      <c r="N64" s="1865"/>
      <c r="O64" s="1865"/>
      <c r="P64" s="1866"/>
      <c r="Q64" s="1867" t="s">
        <v>2995</v>
      </c>
      <c r="R64" s="1865"/>
      <c r="S64" s="1865"/>
      <c r="T64" s="1866"/>
    </row>
    <row r="65" spans="1:20" ht="45.75" thickBot="1">
      <c r="A65" s="1856"/>
      <c r="B65" s="1856"/>
      <c r="C65" s="743" t="s">
        <v>1810</v>
      </c>
      <c r="D65" s="743" t="s">
        <v>1811</v>
      </c>
      <c r="E65" s="1860"/>
      <c r="F65" s="1861"/>
      <c r="G65" s="1863"/>
      <c r="H65" s="753" t="s">
        <v>3100</v>
      </c>
      <c r="I65" s="745" t="s">
        <v>4824</v>
      </c>
      <c r="J65" s="745" t="s">
        <v>4825</v>
      </c>
      <c r="K65" s="745" t="s">
        <v>4826</v>
      </c>
      <c r="L65" s="745" t="s">
        <v>4827</v>
      </c>
      <c r="M65" s="745" t="s">
        <v>4828</v>
      </c>
      <c r="N65" s="745" t="s">
        <v>4829</v>
      </c>
      <c r="O65" s="745" t="s">
        <v>4830</v>
      </c>
      <c r="P65" s="745" t="s">
        <v>4831</v>
      </c>
      <c r="Q65" s="745" t="s">
        <v>4832</v>
      </c>
      <c r="R65" s="745" t="s">
        <v>4833</v>
      </c>
      <c r="S65" s="745" t="s">
        <v>4834</v>
      </c>
      <c r="T65" s="745" t="s">
        <v>4835</v>
      </c>
    </row>
    <row r="66" spans="1:20">
      <c r="A66" s="1849">
        <v>1</v>
      </c>
      <c r="B66" s="1852" t="s">
        <v>3005</v>
      </c>
      <c r="C66" s="1853">
        <v>42005</v>
      </c>
      <c r="D66" s="1853">
        <v>43830</v>
      </c>
      <c r="E66" s="1843">
        <f>+Q66+S66</f>
        <v>7137</v>
      </c>
      <c r="F66" s="1843">
        <f>+E66</f>
        <v>7137</v>
      </c>
      <c r="G66" s="1843">
        <f>J66+L66+N66+P66+J67+J68+L67+L68+N67+N68+P67+P68</f>
        <v>7353.2982457627113</v>
      </c>
      <c r="H66" s="754">
        <v>1</v>
      </c>
      <c r="I66" s="1843">
        <v>1322.42</v>
      </c>
      <c r="J66" s="755">
        <f>43205.5/1.18/1000</f>
        <v>36.614830508474583</v>
      </c>
      <c r="K66" s="1843">
        <v>2309.27</v>
      </c>
      <c r="L66" s="755">
        <f>1584960.45/1.18/1000-J66-J67-J68</f>
        <v>20.76271186440681</v>
      </c>
      <c r="M66" s="1843">
        <v>1309.3699999999999</v>
      </c>
      <c r="N66" s="755">
        <f>4754039.39/1.18/1000-J66-J67-J68-L66-L67-L68</f>
        <v>397.15249999999924</v>
      </c>
      <c r="O66" s="1843">
        <f>+F66-I66-K66-M66</f>
        <v>2195.94</v>
      </c>
      <c r="P66" s="765">
        <f>6427364.6/1.18/1000-J66-J67-J68-L66-L67-L68-N66-N67-N68</f>
        <v>505.85190677966148</v>
      </c>
      <c r="Q66" s="1843">
        <v>1998</v>
      </c>
      <c r="R66" s="1843">
        <f>+G66-T66</f>
        <v>2214.2982457627113</v>
      </c>
      <c r="S66" s="1843">
        <v>5139</v>
      </c>
      <c r="T66" s="1846">
        <f>+S66</f>
        <v>5139</v>
      </c>
    </row>
    <row r="67" spans="1:20">
      <c r="A67" s="1850"/>
      <c r="B67" s="1844"/>
      <c r="C67" s="1844"/>
      <c r="D67" s="1844"/>
      <c r="E67" s="1844"/>
      <c r="F67" s="1844"/>
      <c r="G67" s="1844"/>
      <c r="H67" s="757">
        <v>2</v>
      </c>
      <c r="I67" s="1844"/>
      <c r="J67" s="758">
        <f>87044.6/1.18/1000-J66</f>
        <v>37.15177966101696</v>
      </c>
      <c r="K67" s="1844"/>
      <c r="L67" s="758">
        <f>2252931.57/1.18/1000-J66-J67-J68-L66</f>
        <v>566.0772203389829</v>
      </c>
      <c r="M67" s="1844"/>
      <c r="N67" s="758">
        <f>5473419.18/1.18/1000-N66-L68-L67-L66-J68-J67-J66</f>
        <v>609.64388983050867</v>
      </c>
      <c r="O67" s="1844"/>
      <c r="P67" s="758">
        <f>6589706.84/1.18/1000-J66-J67-J68-L66-L67-L68-N66-N67-N68-P66</f>
        <v>137.57816949152584</v>
      </c>
      <c r="Q67" s="1844"/>
      <c r="R67" s="1844"/>
      <c r="S67" s="1844"/>
      <c r="T67" s="1847"/>
    </row>
    <row r="68" spans="1:20" ht="15.75" thickBot="1">
      <c r="A68" s="1851"/>
      <c r="B68" s="1845"/>
      <c r="C68" s="1845"/>
      <c r="D68" s="1845"/>
      <c r="E68" s="1845"/>
      <c r="F68" s="1845"/>
      <c r="G68" s="1845"/>
      <c r="H68" s="759">
        <v>3</v>
      </c>
      <c r="I68" s="1845"/>
      <c r="J68" s="760">
        <f>1560460.45/1.18/1000-J67-J66</f>
        <v>1248.6575</v>
      </c>
      <c r="K68" s="1845"/>
      <c r="L68" s="760">
        <f>4285399.44/1.18/1000-J66-J67-J68-L66-L67</f>
        <v>1722.4303983050854</v>
      </c>
      <c r="M68" s="1845"/>
      <c r="N68" s="760">
        <f>5830459.35/1.18/1000-J66-J67-J68-L66-L67-L68-N66-N67</f>
        <v>302.57641525423696</v>
      </c>
      <c r="O68" s="1845"/>
      <c r="P68" s="760">
        <f>(8409291.93+267600)/1.18/1000-J66-J67-J68-L66-L67-L68-N66-N67-N68-P66-P67</f>
        <v>1768.8009237288129</v>
      </c>
      <c r="Q68" s="1845"/>
      <c r="R68" s="1845"/>
      <c r="S68" s="1845"/>
      <c r="T68" s="1848"/>
    </row>
    <row r="70" spans="1:20" s="1485" customFormat="1"/>
    <row r="71" spans="1:20" s="1485" customFormat="1" ht="15.75" thickBot="1">
      <c r="B71" s="742" t="s">
        <v>4816</v>
      </c>
      <c r="C71" s="742" t="s">
        <v>4817</v>
      </c>
    </row>
    <row r="72" spans="1:20" s="1485" customFormat="1" ht="16.5" thickBot="1">
      <c r="B72" s="743" t="s">
        <v>1459</v>
      </c>
      <c r="C72" s="1486">
        <v>6166047727</v>
      </c>
      <c r="G72" s="1854" t="s">
        <v>4818</v>
      </c>
      <c r="H72" s="1593"/>
      <c r="I72" s="1593"/>
      <c r="J72" s="1593"/>
      <c r="K72" s="1593"/>
      <c r="L72" s="1593"/>
      <c r="M72" s="1593"/>
      <c r="N72" s="1593"/>
      <c r="O72" s="1593"/>
      <c r="P72" s="1593"/>
      <c r="Q72" s="1593"/>
    </row>
    <row r="73" spans="1:20" s="1485" customFormat="1" ht="15.75" thickBot="1">
      <c r="S73" s="1485" t="s">
        <v>2992</v>
      </c>
    </row>
    <row r="74" spans="1:20" s="1485" customFormat="1" ht="15.75" thickBot="1">
      <c r="A74" s="1855" t="s">
        <v>3106</v>
      </c>
      <c r="B74" s="1855" t="s">
        <v>981</v>
      </c>
      <c r="C74" s="1857" t="s">
        <v>4819</v>
      </c>
      <c r="D74" s="1858"/>
      <c r="E74" s="1859" t="s">
        <v>4820</v>
      </c>
      <c r="F74" s="1859" t="s">
        <v>5069</v>
      </c>
      <c r="G74" s="1862" t="s">
        <v>5070</v>
      </c>
      <c r="H74" s="1864">
        <v>2017</v>
      </c>
      <c r="I74" s="1865"/>
      <c r="J74" s="1865"/>
      <c r="K74" s="1865"/>
      <c r="L74" s="1865"/>
      <c r="M74" s="1865"/>
      <c r="N74" s="1865"/>
      <c r="O74" s="1865"/>
      <c r="P74" s="1866"/>
      <c r="Q74" s="1867" t="s">
        <v>2995</v>
      </c>
      <c r="R74" s="1865"/>
      <c r="S74" s="1865"/>
      <c r="T74" s="1866"/>
    </row>
    <row r="75" spans="1:20" s="1485" customFormat="1" ht="45.75" thickBot="1">
      <c r="A75" s="1856"/>
      <c r="B75" s="1856"/>
      <c r="C75" s="743" t="s">
        <v>1810</v>
      </c>
      <c r="D75" s="743" t="s">
        <v>1811</v>
      </c>
      <c r="E75" s="1860"/>
      <c r="F75" s="1861"/>
      <c r="G75" s="1863"/>
      <c r="H75" s="753" t="s">
        <v>3100</v>
      </c>
      <c r="I75" s="745" t="s">
        <v>4824</v>
      </c>
      <c r="J75" s="745" t="s">
        <v>4825</v>
      </c>
      <c r="K75" s="745" t="s">
        <v>4826</v>
      </c>
      <c r="L75" s="745" t="s">
        <v>4827</v>
      </c>
      <c r="M75" s="745" t="s">
        <v>4828</v>
      </c>
      <c r="N75" s="745" t="s">
        <v>4829</v>
      </c>
      <c r="O75" s="745" t="s">
        <v>4830</v>
      </c>
      <c r="P75" s="745" t="s">
        <v>4831</v>
      </c>
      <c r="Q75" s="745" t="s">
        <v>4832</v>
      </c>
      <c r="R75" s="745" t="s">
        <v>4833</v>
      </c>
      <c r="S75" s="745" t="s">
        <v>4834</v>
      </c>
      <c r="T75" s="745" t="s">
        <v>4835</v>
      </c>
    </row>
    <row r="76" spans="1:20" s="1485" customFormat="1">
      <c r="A76" s="1849">
        <v>1</v>
      </c>
      <c r="B76" s="1852" t="s">
        <v>3005</v>
      </c>
      <c r="C76" s="1853">
        <v>42005</v>
      </c>
      <c r="D76" s="1853">
        <v>43830</v>
      </c>
      <c r="E76" s="1843">
        <f>+Q76+S76</f>
        <v>7322</v>
      </c>
      <c r="F76" s="1843">
        <f>+E76</f>
        <v>7322</v>
      </c>
      <c r="G76" s="1843">
        <f>J76+L76+N76+P76+J77+J78+L77+L78+N77+N78+P77+P78</f>
        <v>7359.2754491525429</v>
      </c>
      <c r="H76" s="754">
        <v>1</v>
      </c>
      <c r="I76" s="1843">
        <v>0</v>
      </c>
      <c r="J76" s="755">
        <v>0</v>
      </c>
      <c r="K76" s="1843">
        <v>2309.27</v>
      </c>
      <c r="L76" s="755">
        <f>323100.96/1.18/1000</f>
        <v>273.81437288135601</v>
      </c>
      <c r="M76" s="1843">
        <v>1309.3699999999999</v>
      </c>
      <c r="N76" s="755">
        <f>5283824.83/1.18/1000-J76-J77-J78-L76-L77-L78</f>
        <v>753.29298305084785</v>
      </c>
      <c r="O76" s="1843">
        <f>+F76-I76-K76-M76</f>
        <v>3703.3599999999997</v>
      </c>
      <c r="P76" s="765">
        <f>6665153.84/1.18/1000-J76-J77-J78-L76-L77-L78-N76-N77-N78</f>
        <v>278.33841525423759</v>
      </c>
      <c r="Q76" s="1843">
        <v>2246.4299999999998</v>
      </c>
      <c r="R76" s="1843">
        <f>2246.43</f>
        <v>2246.4299999999998</v>
      </c>
      <c r="S76" s="1843">
        <v>5075.57</v>
      </c>
      <c r="T76" s="1846">
        <f>+F76-R76</f>
        <v>5075.57</v>
      </c>
    </row>
    <row r="77" spans="1:20" s="1485" customFormat="1">
      <c r="A77" s="1850"/>
      <c r="B77" s="1844"/>
      <c r="C77" s="1844"/>
      <c r="D77" s="1844"/>
      <c r="E77" s="1844"/>
      <c r="F77" s="1844"/>
      <c r="G77" s="1844"/>
      <c r="H77" s="757">
        <v>2</v>
      </c>
      <c r="I77" s="1844"/>
      <c r="J77" s="758">
        <v>0</v>
      </c>
      <c r="K77" s="1844"/>
      <c r="L77" s="758">
        <f>1563259.14/1.18/1000-J76-J77-J78-L76</f>
        <v>1050.981508474576</v>
      </c>
      <c r="M77" s="1844"/>
      <c r="N77" s="758">
        <f>5923970.43/1.18/1000-N76-L78-L77-L76-J78-J77-J76</f>
        <v>542.49627118643923</v>
      </c>
      <c r="O77" s="1844"/>
      <c r="P77" s="758">
        <f>6850759.41/1.18/1000-J76-J77-J78-L76-L77-L78-N76-N77-N78-P76</f>
        <v>157.29285593220357</v>
      </c>
      <c r="Q77" s="1844"/>
      <c r="R77" s="1844"/>
      <c r="S77" s="1844"/>
      <c r="T77" s="1847"/>
    </row>
    <row r="78" spans="1:20" s="1485" customFormat="1" ht="15.75" thickBot="1">
      <c r="A78" s="1851"/>
      <c r="B78" s="1845"/>
      <c r="C78" s="1845"/>
      <c r="D78" s="1845"/>
      <c r="E78" s="1845"/>
      <c r="F78" s="1845"/>
      <c r="G78" s="1845"/>
      <c r="H78" s="759">
        <v>3</v>
      </c>
      <c r="I78" s="1845"/>
      <c r="J78" s="760">
        <v>0</v>
      </c>
      <c r="K78" s="1845"/>
      <c r="L78" s="760">
        <f>4394939.11/1.18/1000-J76-J77-J78-L76-L77</f>
        <v>2399.7287881355937</v>
      </c>
      <c r="M78" s="1845"/>
      <c r="N78" s="760">
        <f>6336714.51/1.18/1000-J76-J77-J78-L76-L77-L78-N76-N77</f>
        <v>349.78311864406885</v>
      </c>
      <c r="O78" s="1845"/>
      <c r="P78" s="760">
        <f>8683945.03/1.18/1000-J76-J77-J78-L76-L77-L78-N76-N77-N78-P76-P77</f>
        <v>1553.5471355932195</v>
      </c>
      <c r="Q78" s="1845"/>
      <c r="R78" s="1845"/>
      <c r="S78" s="1845"/>
      <c r="T78" s="1848"/>
    </row>
    <row r="79" spans="1:20" s="1485" customFormat="1">
      <c r="A79" s="773"/>
      <c r="B79" s="773"/>
      <c r="C79" s="773"/>
      <c r="D79" s="773"/>
      <c r="E79" s="773"/>
      <c r="F79" s="773"/>
      <c r="G79" s="773"/>
      <c r="H79" s="862"/>
      <c r="I79" s="773"/>
      <c r="J79" s="1488"/>
      <c r="K79" s="773"/>
      <c r="L79" s="1488"/>
      <c r="M79" s="773"/>
      <c r="N79" s="1488"/>
      <c r="O79" s="773"/>
      <c r="P79" s="1488"/>
      <c r="Q79" s="773"/>
      <c r="R79" s="773"/>
      <c r="S79" s="773"/>
      <c r="T79" s="773"/>
    </row>
    <row r="80" spans="1:20">
      <c r="B80" t="s">
        <v>5042</v>
      </c>
    </row>
    <row r="81" spans="2:14">
      <c r="B81" s="67" t="s">
        <v>3007</v>
      </c>
    </row>
    <row r="82" spans="2:14">
      <c r="B82" t="s">
        <v>3006</v>
      </c>
    </row>
    <row r="83" spans="2:14">
      <c r="B83" s="67" t="s">
        <v>3007</v>
      </c>
    </row>
    <row r="84" spans="2:14">
      <c r="B84" s="67"/>
    </row>
    <row r="85" spans="2:14">
      <c r="B85" t="s">
        <v>3008</v>
      </c>
    </row>
    <row r="86" spans="2:14" ht="15.75" thickBot="1">
      <c r="N86" s="766"/>
    </row>
    <row r="87" spans="2:14">
      <c r="B87" s="767" t="s">
        <v>1821</v>
      </c>
      <c r="C87" s="768" t="s">
        <v>3009</v>
      </c>
      <c r="D87" s="769"/>
      <c r="E87" s="769"/>
      <c r="F87" s="769"/>
      <c r="G87" s="769"/>
      <c r="H87" s="770"/>
    </row>
    <row r="88" spans="2:14">
      <c r="B88" s="771" t="s">
        <v>1824</v>
      </c>
      <c r="C88" s="772" t="s">
        <v>3010</v>
      </c>
      <c r="D88" s="773"/>
      <c r="E88" s="773"/>
      <c r="F88" s="773"/>
      <c r="G88" s="773"/>
      <c r="H88" s="774"/>
    </row>
    <row r="89" spans="2:14">
      <c r="B89" s="771" t="s">
        <v>3011</v>
      </c>
      <c r="C89" s="772" t="s">
        <v>3012</v>
      </c>
      <c r="D89" s="773"/>
      <c r="E89" s="773"/>
      <c r="F89" s="773"/>
      <c r="G89" s="773"/>
      <c r="H89" s="774"/>
    </row>
    <row r="90" spans="2:14">
      <c r="B90" s="771" t="s">
        <v>3013</v>
      </c>
      <c r="C90" s="775" t="s">
        <v>3014</v>
      </c>
      <c r="D90" s="773"/>
      <c r="E90" s="773"/>
      <c r="F90" s="773"/>
      <c r="G90" s="773"/>
      <c r="H90" s="774"/>
    </row>
    <row r="91" spans="2:14" ht="17.25" customHeight="1" thickBot="1">
      <c r="B91" s="771" t="s">
        <v>3015</v>
      </c>
      <c r="C91" s="775" t="s">
        <v>3016</v>
      </c>
      <c r="D91" s="773"/>
      <c r="E91" s="773"/>
      <c r="F91" s="773"/>
      <c r="G91" s="773"/>
      <c r="H91" s="774"/>
    </row>
    <row r="92" spans="2:14">
      <c r="B92" s="767" t="s">
        <v>713</v>
      </c>
      <c r="C92" s="776" t="s">
        <v>714</v>
      </c>
      <c r="D92" s="769"/>
      <c r="E92" s="769"/>
      <c r="F92" s="769"/>
      <c r="G92" s="769"/>
      <c r="H92" s="770"/>
    </row>
    <row r="93" spans="2:14">
      <c r="B93" s="771" t="s">
        <v>715</v>
      </c>
      <c r="C93" s="772" t="s">
        <v>714</v>
      </c>
      <c r="D93" s="773"/>
      <c r="E93" s="773"/>
      <c r="F93" s="773"/>
      <c r="G93" s="773"/>
      <c r="H93" s="774"/>
    </row>
    <row r="94" spans="2:14" ht="15.75" thickBot="1">
      <c r="B94" s="777" t="s">
        <v>2022</v>
      </c>
      <c r="C94" s="778" t="s">
        <v>714</v>
      </c>
      <c r="D94" s="779"/>
      <c r="E94" s="779"/>
      <c r="F94" s="779"/>
      <c r="G94" s="779"/>
      <c r="H94" s="780"/>
    </row>
    <row r="95" spans="2:14">
      <c r="B95" s="771" t="s">
        <v>2023</v>
      </c>
      <c r="C95" s="775" t="s">
        <v>2024</v>
      </c>
      <c r="D95" s="773"/>
      <c r="E95" s="773"/>
      <c r="F95" s="773"/>
      <c r="G95" s="773"/>
      <c r="H95" s="774"/>
    </row>
    <row r="96" spans="2:14" ht="15.75" thickBot="1">
      <c r="B96" s="771" t="s">
        <v>2025</v>
      </c>
      <c r="C96" s="775" t="s">
        <v>2026</v>
      </c>
      <c r="D96" s="773"/>
      <c r="E96" s="773"/>
      <c r="F96" s="773"/>
      <c r="G96" s="773"/>
      <c r="H96" s="774"/>
    </row>
    <row r="97" spans="2:8">
      <c r="B97" s="781" t="s">
        <v>2027</v>
      </c>
      <c r="C97" s="776" t="s">
        <v>2028</v>
      </c>
      <c r="D97" s="769"/>
      <c r="E97" s="769"/>
      <c r="F97" s="769"/>
      <c r="G97" s="769"/>
      <c r="H97" s="770"/>
    </row>
    <row r="98" spans="2:8">
      <c r="B98" s="782" t="s">
        <v>2029</v>
      </c>
      <c r="C98" s="775" t="s">
        <v>2030</v>
      </c>
      <c r="D98" s="773"/>
      <c r="E98" s="773"/>
      <c r="F98" s="773"/>
      <c r="G98" s="773"/>
      <c r="H98" s="774"/>
    </row>
    <row r="99" spans="2:8" ht="15.75" thickBot="1">
      <c r="B99" s="783" t="s">
        <v>2029</v>
      </c>
      <c r="C99" s="784" t="s">
        <v>2031</v>
      </c>
      <c r="D99" s="779"/>
      <c r="E99" s="779"/>
      <c r="F99" s="779"/>
      <c r="G99" s="779"/>
      <c r="H99" s="780"/>
    </row>
    <row r="100" spans="2:8" ht="27" thickBot="1">
      <c r="B100" s="777" t="s">
        <v>2032</v>
      </c>
      <c r="C100" s="784" t="s">
        <v>2033</v>
      </c>
      <c r="D100" s="779"/>
      <c r="E100" s="779"/>
      <c r="F100" s="779"/>
      <c r="G100" s="779"/>
      <c r="H100" s="780"/>
    </row>
  </sheetData>
  <mergeCells count="162">
    <mergeCell ref="F64:F65"/>
    <mergeCell ref="E56:E58"/>
    <mergeCell ref="C44:D44"/>
    <mergeCell ref="A44:A45"/>
    <mergeCell ref="B54:B55"/>
    <mergeCell ref="F66:F68"/>
    <mergeCell ref="A56:A58"/>
    <mergeCell ref="B56:B58"/>
    <mergeCell ref="B66:B68"/>
    <mergeCell ref="B64:B65"/>
    <mergeCell ref="C66:C68"/>
    <mergeCell ref="D66:D68"/>
    <mergeCell ref="E64:E65"/>
    <mergeCell ref="A66:A68"/>
    <mergeCell ref="C64:D64"/>
    <mergeCell ref="E66:E68"/>
    <mergeCell ref="A64:A65"/>
    <mergeCell ref="G66:G68"/>
    <mergeCell ref="I66:I68"/>
    <mergeCell ref="Q66:Q68"/>
    <mergeCell ref="O66:O68"/>
    <mergeCell ref="K66:K68"/>
    <mergeCell ref="M66:M68"/>
    <mergeCell ref="A34:A35"/>
    <mergeCell ref="B34:B35"/>
    <mergeCell ref="C36:C38"/>
    <mergeCell ref="F54:F55"/>
    <mergeCell ref="E54:E55"/>
    <mergeCell ref="B46:B48"/>
    <mergeCell ref="A46:A48"/>
    <mergeCell ref="E36:E38"/>
    <mergeCell ref="A54:A55"/>
    <mergeCell ref="C54:D54"/>
    <mergeCell ref="H54:P54"/>
    <mergeCell ref="G54:G55"/>
    <mergeCell ref="G62:Q62"/>
    <mergeCell ref="G56:G58"/>
    <mergeCell ref="C56:C58"/>
    <mergeCell ref="F56:F58"/>
    <mergeCell ref="D56:D58"/>
    <mergeCell ref="G64:G65"/>
    <mergeCell ref="A36:A38"/>
    <mergeCell ref="B36:B38"/>
    <mergeCell ref="B44:B45"/>
    <mergeCell ref="C46:C48"/>
    <mergeCell ref="D46:D48"/>
    <mergeCell ref="E46:E48"/>
    <mergeCell ref="E44:E45"/>
    <mergeCell ref="F44:F45"/>
    <mergeCell ref="F36:F38"/>
    <mergeCell ref="Q54:T54"/>
    <mergeCell ref="S56:S58"/>
    <mergeCell ref="F46:F48"/>
    <mergeCell ref="Q46:Q48"/>
    <mergeCell ref="M46:M48"/>
    <mergeCell ref="G46:G48"/>
    <mergeCell ref="G52:Q52"/>
    <mergeCell ref="O46:O48"/>
    <mergeCell ref="M56:M58"/>
    <mergeCell ref="G36:G38"/>
    <mergeCell ref="G44:G45"/>
    <mergeCell ref="T46:T48"/>
    <mergeCell ref="S46:S48"/>
    <mergeCell ref="R46:R48"/>
    <mergeCell ref="K46:K48"/>
    <mergeCell ref="I46:I48"/>
    <mergeCell ref="G42:Q42"/>
    <mergeCell ref="T66:T68"/>
    <mergeCell ref="H64:P64"/>
    <mergeCell ref="R66:R68"/>
    <mergeCell ref="T56:T58"/>
    <mergeCell ref="I56:I58"/>
    <mergeCell ref="Q64:T64"/>
    <mergeCell ref="R56:R58"/>
    <mergeCell ref="O56:O58"/>
    <mergeCell ref="Q56:Q58"/>
    <mergeCell ref="K56:K58"/>
    <mergeCell ref="S66:S68"/>
    <mergeCell ref="H44:P44"/>
    <mergeCell ref="T36:T38"/>
    <mergeCell ref="S36:S38"/>
    <mergeCell ref="R36:R38"/>
    <mergeCell ref="I36:I38"/>
    <mergeCell ref="K36:K38"/>
    <mergeCell ref="O36:O38"/>
    <mergeCell ref="Q36:Q38"/>
    <mergeCell ref="Q44:T44"/>
    <mergeCell ref="A24:A25"/>
    <mergeCell ref="B24:B25"/>
    <mergeCell ref="A7:A8"/>
    <mergeCell ref="B7:B8"/>
    <mergeCell ref="A16:A17"/>
    <mergeCell ref="B16:B17"/>
    <mergeCell ref="C24:D24"/>
    <mergeCell ref="D36:D38"/>
    <mergeCell ref="M36:M38"/>
    <mergeCell ref="T26:T28"/>
    <mergeCell ref="F26:F28"/>
    <mergeCell ref="Q26:Q28"/>
    <mergeCell ref="G26:G28"/>
    <mergeCell ref="I26:I28"/>
    <mergeCell ref="O26:O28"/>
    <mergeCell ref="K26:K28"/>
    <mergeCell ref="C34:D34"/>
    <mergeCell ref="D26:D28"/>
    <mergeCell ref="M26:M28"/>
    <mergeCell ref="S26:S28"/>
    <mergeCell ref="H34:P34"/>
    <mergeCell ref="F34:F35"/>
    <mergeCell ref="E34:E35"/>
    <mergeCell ref="G34:G35"/>
    <mergeCell ref="Q34:T34"/>
    <mergeCell ref="G32:Q32"/>
    <mergeCell ref="R26:R28"/>
    <mergeCell ref="A26:A28"/>
    <mergeCell ref="B26:B28"/>
    <mergeCell ref="C26:C28"/>
    <mergeCell ref="E26:E28"/>
    <mergeCell ref="G5:P5"/>
    <mergeCell ref="F24:F25"/>
    <mergeCell ref="C16:D16"/>
    <mergeCell ref="E16:E17"/>
    <mergeCell ref="F16:F17"/>
    <mergeCell ref="H16:O16"/>
    <mergeCell ref="C7:D7"/>
    <mergeCell ref="E7:E8"/>
    <mergeCell ref="G7:G8"/>
    <mergeCell ref="H7:O7"/>
    <mergeCell ref="P7:S7"/>
    <mergeCell ref="Q24:T24"/>
    <mergeCell ref="G24:G25"/>
    <mergeCell ref="E24:E25"/>
    <mergeCell ref="G22:Q22"/>
    <mergeCell ref="G14:P14"/>
    <mergeCell ref="F7:F8"/>
    <mergeCell ref="P16:S16"/>
    <mergeCell ref="G16:G17"/>
    <mergeCell ref="H24:P24"/>
    <mergeCell ref="G72:Q72"/>
    <mergeCell ref="A74:A75"/>
    <mergeCell ref="B74:B75"/>
    <mergeCell ref="C74:D74"/>
    <mergeCell ref="E74:E75"/>
    <mergeCell ref="F74:F75"/>
    <mergeCell ref="G74:G75"/>
    <mergeCell ref="H74:P74"/>
    <mergeCell ref="Q74:T74"/>
    <mergeCell ref="M76:M78"/>
    <mergeCell ref="O76:O78"/>
    <mergeCell ref="Q76:Q78"/>
    <mergeCell ref="R76:R78"/>
    <mergeCell ref="S76:S78"/>
    <mergeCell ref="T76:T78"/>
    <mergeCell ref="A76:A78"/>
    <mergeCell ref="B76:B78"/>
    <mergeCell ref="C76:C78"/>
    <mergeCell ref="D76:D78"/>
    <mergeCell ref="E76:E78"/>
    <mergeCell ref="F76:F78"/>
    <mergeCell ref="G76:G78"/>
    <mergeCell ref="I76:I78"/>
    <mergeCell ref="K76:K78"/>
  </mergeCells>
  <phoneticPr fontId="0" type="noConversion"/>
  <hyperlinks>
    <hyperlink ref="B1" location="Главная!A1" display="Переход на главную страницу"/>
    <hyperlink ref="C98" r:id="rId1"/>
    <hyperlink ref="C99" r:id="rId2"/>
    <hyperlink ref="C100" r:id="rId3"/>
    <hyperlink ref="C97" r:id="rId4"/>
    <hyperlink ref="C87" r:id="rId5"/>
    <hyperlink ref="C88" r:id="rId6"/>
    <hyperlink ref="C89" r:id="rId7"/>
    <hyperlink ref="C91" r:id="rId8"/>
    <hyperlink ref="C90" r:id="rId9"/>
    <hyperlink ref="C96" r:id="rId10"/>
    <hyperlink ref="C92" r:id="rId11"/>
    <hyperlink ref="C95" r:id="rId12"/>
    <hyperlink ref="C93" r:id="rId13"/>
    <hyperlink ref="C94" r:id="rId14"/>
    <hyperlink ref="B83" r:id="rId15"/>
    <hyperlink ref="B81" r:id="rId16"/>
  </hyperlinks>
  <pageMargins left="0.7" right="0.7" top="0.75" bottom="0.75" header="0.3" footer="0.3"/>
  <pageSetup paperSize="9" scale="49" orientation="landscape" r:id="rId17"/>
</worksheet>
</file>

<file path=xl/worksheets/sheet25.xml><?xml version="1.0" encoding="utf-8"?>
<worksheet xmlns="http://schemas.openxmlformats.org/spreadsheetml/2006/main" xmlns:r="http://schemas.openxmlformats.org/officeDocument/2006/relationships">
  <dimension ref="A2:AG1389"/>
  <sheetViews>
    <sheetView view="pageBreakPreview" zoomScale="85" zoomScaleNormal="100" workbookViewId="0">
      <selection activeCell="A11" sqref="A11:F12"/>
    </sheetView>
  </sheetViews>
  <sheetFormatPr defaultRowHeight="15"/>
  <cols>
    <col min="1" max="1" width="5.85546875" style="789" customWidth="1"/>
    <col min="2" max="2" width="27" style="789" customWidth="1"/>
    <col min="3" max="3" width="40.5703125" style="789" customWidth="1"/>
    <col min="4" max="15" width="9.28515625" style="789" customWidth="1"/>
    <col min="16" max="16" width="9.140625" style="789"/>
    <col min="17" max="17" width="7.7109375" style="789" customWidth="1"/>
    <col min="18" max="18" width="10.5703125" style="789" customWidth="1"/>
    <col min="19" max="19" width="9.140625" style="789"/>
    <col min="20" max="20" width="19.5703125" style="789" customWidth="1"/>
    <col min="21" max="16384" width="9.140625" style="789"/>
  </cols>
  <sheetData>
    <row r="2" spans="1:33" ht="15.75">
      <c r="A2" s="785"/>
      <c r="B2" s="79" t="s">
        <v>724</v>
      </c>
      <c r="C2" s="785"/>
      <c r="D2" s="785"/>
      <c r="E2" s="785"/>
      <c r="F2" s="785"/>
      <c r="G2" s="785"/>
      <c r="H2" s="785"/>
      <c r="I2" s="785"/>
      <c r="J2" s="785"/>
      <c r="K2" s="785"/>
      <c r="L2" s="785"/>
      <c r="M2" s="785"/>
      <c r="N2" s="785"/>
      <c r="O2" s="785"/>
      <c r="P2" s="785"/>
      <c r="Q2" s="786"/>
      <c r="R2" s="787"/>
      <c r="S2" s="787"/>
      <c r="T2" s="787"/>
      <c r="U2" s="787"/>
      <c r="V2" s="787"/>
      <c r="W2" s="787"/>
      <c r="X2" s="787"/>
      <c r="Y2" s="787"/>
      <c r="Z2" s="787"/>
      <c r="AA2" s="787"/>
      <c r="AB2" s="787"/>
      <c r="AC2" s="787"/>
      <c r="AD2" s="787"/>
      <c r="AE2" s="787"/>
      <c r="AF2" s="787"/>
      <c r="AG2" s="788"/>
    </row>
    <row r="3" spans="1:33" ht="15.75">
      <c r="A3" s="785"/>
      <c r="B3" s="79"/>
      <c r="C3" s="785"/>
      <c r="D3" s="785"/>
      <c r="E3" s="785"/>
      <c r="F3" s="785"/>
      <c r="G3" s="785"/>
      <c r="H3" s="785"/>
      <c r="I3" s="785"/>
      <c r="J3" s="785"/>
      <c r="K3" s="785"/>
      <c r="L3" s="785"/>
      <c r="M3" s="785"/>
      <c r="N3" s="785"/>
      <c r="O3" s="785"/>
      <c r="P3" s="785"/>
      <c r="Q3" s="786"/>
      <c r="R3" s="787"/>
      <c r="S3" s="787"/>
      <c r="T3" s="787"/>
      <c r="U3" s="787"/>
      <c r="V3" s="787"/>
      <c r="W3" s="787"/>
      <c r="X3" s="787"/>
      <c r="Y3" s="787"/>
      <c r="Z3" s="787"/>
      <c r="AA3" s="787"/>
      <c r="AB3" s="787"/>
      <c r="AC3" s="787"/>
      <c r="AD3" s="787"/>
      <c r="AE3" s="787"/>
      <c r="AF3" s="787"/>
      <c r="AG3" s="788"/>
    </row>
    <row r="4" spans="1:33" ht="29.25" customHeight="1">
      <c r="A4" s="785"/>
      <c r="B4" s="1875" t="s">
        <v>2034</v>
      </c>
      <c r="C4" s="1875"/>
      <c r="D4" s="1875"/>
      <c r="E4" s="1875"/>
      <c r="F4" s="1875"/>
      <c r="G4" s="1875"/>
      <c r="H4" s="1875"/>
      <c r="I4" s="1875"/>
      <c r="J4" s="1875"/>
      <c r="K4" s="1875"/>
      <c r="L4" s="1875"/>
      <c r="M4" s="1875"/>
      <c r="N4" s="1875"/>
      <c r="O4" s="1875"/>
      <c r="P4" s="1875"/>
      <c r="Q4" s="1875"/>
      <c r="R4" s="1875"/>
      <c r="S4" s="787"/>
      <c r="T4" s="787"/>
      <c r="U4" s="787"/>
      <c r="V4" s="787"/>
      <c r="W4" s="787"/>
      <c r="X4" s="787"/>
      <c r="Y4" s="787"/>
      <c r="Z4" s="787"/>
      <c r="AA4" s="787"/>
      <c r="AB4" s="787"/>
      <c r="AC4" s="787"/>
      <c r="AD4" s="787"/>
      <c r="AE4" s="787"/>
      <c r="AF4" s="787"/>
      <c r="AG4" s="788"/>
    </row>
    <row r="5" spans="1:33">
      <c r="A5" s="785"/>
      <c r="B5" s="785"/>
      <c r="C5" s="785"/>
      <c r="D5" s="785"/>
      <c r="E5" s="785"/>
      <c r="F5" s="785"/>
      <c r="G5" s="785"/>
      <c r="H5" s="785"/>
      <c r="I5" s="785"/>
      <c r="J5" s="785"/>
      <c r="K5" s="785"/>
      <c r="L5" s="785"/>
      <c r="M5" s="785"/>
      <c r="N5" s="785"/>
      <c r="O5" s="785"/>
      <c r="P5" s="785"/>
      <c r="Q5" s="786"/>
      <c r="R5" s="787"/>
      <c r="S5" s="787"/>
      <c r="T5" s="787"/>
      <c r="U5" s="787"/>
      <c r="V5" s="787"/>
      <c r="W5" s="787"/>
      <c r="X5" s="787"/>
      <c r="Y5" s="787"/>
      <c r="Z5" s="787"/>
      <c r="AA5" s="787"/>
      <c r="AB5" s="787"/>
      <c r="AC5" s="787"/>
      <c r="AD5" s="787"/>
      <c r="AE5" s="787"/>
      <c r="AF5" s="787"/>
      <c r="AG5" s="788"/>
    </row>
    <row r="6" spans="1:33" ht="47.25" customHeight="1">
      <c r="A6" s="785"/>
      <c r="B6" s="1876" t="s">
        <v>2035</v>
      </c>
      <c r="C6" s="1876"/>
      <c r="D6" s="1876"/>
      <c r="E6" s="1876"/>
      <c r="F6" s="1876"/>
      <c r="G6" s="1876"/>
      <c r="H6" s="1876"/>
      <c r="I6" s="1876"/>
      <c r="J6" s="1876"/>
      <c r="K6" s="1876"/>
      <c r="L6" s="1876"/>
      <c r="M6" s="1876"/>
      <c r="N6" s="1876"/>
      <c r="O6" s="1876"/>
      <c r="P6" s="785"/>
      <c r="Q6" s="786"/>
      <c r="R6" s="787"/>
      <c r="S6" s="787"/>
      <c r="T6" s="787"/>
      <c r="U6" s="787"/>
      <c r="V6" s="787"/>
      <c r="W6" s="787"/>
      <c r="X6" s="787"/>
      <c r="Y6" s="787"/>
      <c r="Z6" s="787"/>
      <c r="AA6" s="787"/>
      <c r="AB6" s="787"/>
      <c r="AC6" s="787"/>
      <c r="AD6" s="787"/>
      <c r="AE6" s="787"/>
      <c r="AF6" s="787"/>
      <c r="AG6" s="788"/>
    </row>
    <row r="7" spans="1:33" ht="15.75" thickBot="1">
      <c r="A7" s="785"/>
      <c r="B7" s="785"/>
      <c r="C7" s="785"/>
      <c r="D7" s="785"/>
      <c r="E7" s="785"/>
      <c r="F7" s="785"/>
      <c r="G7" s="785"/>
      <c r="H7" s="785"/>
      <c r="I7" s="785"/>
      <c r="J7" s="785"/>
      <c r="K7" s="785"/>
      <c r="L7" s="785"/>
      <c r="M7" s="785"/>
      <c r="N7" s="785"/>
      <c r="O7" s="785"/>
      <c r="P7" s="785"/>
      <c r="Q7" s="786"/>
      <c r="R7" s="787"/>
      <c r="S7" s="787"/>
      <c r="T7" s="787"/>
      <c r="U7" s="787"/>
      <c r="V7" s="787"/>
      <c r="W7" s="787"/>
      <c r="X7" s="787"/>
      <c r="Y7" s="787"/>
      <c r="Z7" s="787"/>
      <c r="AA7" s="787"/>
      <c r="AB7" s="787"/>
      <c r="AC7" s="787"/>
      <c r="AD7" s="787"/>
      <c r="AE7" s="787"/>
      <c r="AF7" s="787"/>
      <c r="AG7" s="788"/>
    </row>
    <row r="8" spans="1:33" ht="15" customHeight="1">
      <c r="A8" s="790" t="s">
        <v>3544</v>
      </c>
      <c r="B8" s="790" t="s">
        <v>981</v>
      </c>
      <c r="C8" s="790" t="s">
        <v>2036</v>
      </c>
      <c r="D8" s="1877" t="s">
        <v>2037</v>
      </c>
      <c r="E8" s="1878"/>
      <c r="F8" s="1878"/>
      <c r="G8" s="1878"/>
      <c r="H8" s="1878"/>
      <c r="I8" s="1878"/>
      <c r="J8" s="1878"/>
      <c r="K8" s="1878"/>
      <c r="L8" s="1878"/>
      <c r="M8" s="1878"/>
      <c r="N8" s="1878"/>
      <c r="O8" s="1878"/>
      <c r="P8" s="785"/>
      <c r="Q8" s="791"/>
      <c r="R8" s="792"/>
      <c r="S8" s="792"/>
      <c r="T8" s="792"/>
      <c r="U8" s="792"/>
      <c r="V8" s="792"/>
      <c r="W8" s="792"/>
      <c r="X8" s="792"/>
      <c r="Y8" s="792"/>
      <c r="Z8" s="792"/>
      <c r="AA8" s="792"/>
      <c r="AB8" s="792"/>
      <c r="AC8" s="792"/>
      <c r="AD8" s="792"/>
      <c r="AE8" s="792"/>
      <c r="AF8" s="792"/>
      <c r="AG8" s="788"/>
    </row>
    <row r="9" spans="1:33">
      <c r="A9" s="790"/>
      <c r="B9" s="790"/>
      <c r="C9" s="790"/>
      <c r="D9" s="793" t="s">
        <v>2038</v>
      </c>
      <c r="E9" s="790" t="s">
        <v>2039</v>
      </c>
      <c r="F9" s="790" t="s">
        <v>2040</v>
      </c>
      <c r="G9" s="790" t="s">
        <v>2041</v>
      </c>
      <c r="H9" s="790" t="s">
        <v>1475</v>
      </c>
      <c r="I9" s="790" t="s">
        <v>2042</v>
      </c>
      <c r="J9" s="790" t="s">
        <v>2043</v>
      </c>
      <c r="K9" s="790" t="s">
        <v>2044</v>
      </c>
      <c r="L9" s="790" t="s">
        <v>2045</v>
      </c>
      <c r="M9" s="790" t="s">
        <v>2046</v>
      </c>
      <c r="N9" s="790" t="s">
        <v>2047</v>
      </c>
      <c r="O9" s="790" t="s">
        <v>2048</v>
      </c>
      <c r="P9" s="785"/>
      <c r="Q9" s="791"/>
      <c r="R9" s="792"/>
      <c r="S9" s="792"/>
      <c r="T9" s="792"/>
      <c r="U9" s="792"/>
      <c r="V9" s="792"/>
      <c r="W9" s="792"/>
      <c r="X9" s="792"/>
      <c r="Y9" s="792"/>
      <c r="Z9" s="792"/>
      <c r="AA9" s="792"/>
      <c r="AB9" s="792"/>
      <c r="AC9" s="792"/>
      <c r="AD9" s="792"/>
      <c r="AE9" s="792"/>
      <c r="AF9" s="792"/>
      <c r="AG9" s="788"/>
    </row>
    <row r="10" spans="1:33" ht="25.5">
      <c r="A10" s="794" t="s">
        <v>2049</v>
      </c>
      <c r="B10" s="795" t="s">
        <v>970</v>
      </c>
      <c r="C10" s="795" t="s">
        <v>2050</v>
      </c>
      <c r="D10" s="796"/>
      <c r="E10" s="796"/>
      <c r="F10" s="796"/>
      <c r="G10" s="796"/>
      <c r="H10" s="797"/>
      <c r="I10" s="798"/>
      <c r="J10" s="799"/>
      <c r="K10" s="798"/>
      <c r="L10" s="799"/>
      <c r="M10" s="797"/>
      <c r="N10" s="797"/>
      <c r="O10" s="797"/>
      <c r="P10" s="785"/>
      <c r="Q10" s="792"/>
      <c r="R10" s="800"/>
      <c r="S10" s="792"/>
      <c r="T10" s="801"/>
      <c r="U10" s="802"/>
      <c r="V10" s="802"/>
      <c r="W10" s="802"/>
      <c r="X10" s="802"/>
      <c r="Y10" s="802"/>
      <c r="Z10" s="803"/>
      <c r="AA10" s="802"/>
      <c r="AB10" s="803"/>
      <c r="AC10" s="802"/>
      <c r="AD10" s="802"/>
      <c r="AE10" s="802"/>
      <c r="AF10" s="802"/>
      <c r="AG10" s="788"/>
    </row>
    <row r="11" spans="1:33" ht="25.5">
      <c r="A11" s="794" t="s">
        <v>2051</v>
      </c>
      <c r="B11" s="795" t="s">
        <v>974</v>
      </c>
      <c r="C11" s="795" t="s">
        <v>2052</v>
      </c>
      <c r="D11" s="796"/>
      <c r="E11" s="796"/>
      <c r="F11" s="796"/>
      <c r="G11" s="796"/>
      <c r="H11" s="797"/>
      <c r="I11" s="804"/>
      <c r="J11" s="799"/>
      <c r="K11" s="797"/>
      <c r="L11" s="798"/>
      <c r="M11" s="797"/>
      <c r="N11" s="797"/>
      <c r="O11" s="797"/>
      <c r="P11" s="785"/>
      <c r="Q11" s="792"/>
      <c r="R11" s="800"/>
      <c r="S11" s="792"/>
      <c r="T11" s="805"/>
      <c r="U11" s="802"/>
      <c r="V11" s="802"/>
      <c r="W11" s="802"/>
      <c r="X11" s="802"/>
      <c r="Y11" s="802"/>
      <c r="Z11" s="803"/>
      <c r="AA11" s="802"/>
      <c r="AB11" s="802"/>
      <c r="AC11" s="803"/>
      <c r="AD11" s="802"/>
      <c r="AE11" s="802"/>
      <c r="AF11" s="802"/>
      <c r="AG11" s="788"/>
    </row>
    <row r="12" spans="1:33" ht="16.5" customHeight="1">
      <c r="A12" s="794" t="s">
        <v>2053</v>
      </c>
      <c r="B12" s="795" t="s">
        <v>2054</v>
      </c>
      <c r="C12" s="795" t="s">
        <v>2055</v>
      </c>
      <c r="D12" s="796"/>
      <c r="E12" s="796"/>
      <c r="F12" s="796"/>
      <c r="G12" s="796"/>
      <c r="H12" s="798"/>
      <c r="I12" s="798"/>
      <c r="J12" s="799"/>
      <c r="K12" s="797"/>
      <c r="L12" s="797"/>
      <c r="M12" s="797"/>
      <c r="N12" s="797"/>
      <c r="O12" s="797"/>
      <c r="P12" s="785"/>
      <c r="Q12" s="792"/>
      <c r="R12" s="800"/>
      <c r="S12" s="792"/>
      <c r="T12" s="805"/>
      <c r="U12" s="802"/>
      <c r="V12" s="802"/>
      <c r="W12" s="802"/>
      <c r="X12" s="802"/>
      <c r="Y12" s="803"/>
      <c r="Z12" s="803"/>
      <c r="AA12" s="802"/>
      <c r="AB12" s="802"/>
      <c r="AC12" s="802"/>
      <c r="AD12" s="802"/>
      <c r="AE12" s="802"/>
      <c r="AF12" s="802"/>
      <c r="AG12" s="788"/>
    </row>
    <row r="13" spans="1:33" ht="18" customHeight="1">
      <c r="A13" s="794" t="s">
        <v>2056</v>
      </c>
      <c r="B13" s="795" t="s">
        <v>2057</v>
      </c>
      <c r="C13" s="795" t="s">
        <v>2058</v>
      </c>
      <c r="D13" s="796"/>
      <c r="E13" s="796"/>
      <c r="F13" s="796"/>
      <c r="G13" s="796"/>
      <c r="H13" s="797"/>
      <c r="I13" s="798"/>
      <c r="J13" s="798"/>
      <c r="K13" s="799"/>
      <c r="L13" s="797"/>
      <c r="M13" s="797"/>
      <c r="N13" s="797"/>
      <c r="O13" s="797"/>
      <c r="P13" s="785"/>
      <c r="Q13" s="792"/>
      <c r="R13" s="805"/>
      <c r="S13" s="792"/>
      <c r="T13" s="801"/>
      <c r="U13" s="802"/>
      <c r="V13" s="802"/>
      <c r="W13" s="802"/>
      <c r="X13" s="802"/>
      <c r="Y13" s="802"/>
      <c r="Z13" s="802"/>
      <c r="AA13" s="802"/>
      <c r="AB13" s="802"/>
      <c r="AC13" s="802"/>
      <c r="AD13" s="803"/>
      <c r="AE13" s="802"/>
      <c r="AF13" s="802"/>
      <c r="AG13" s="788"/>
    </row>
    <row r="14" spans="1:33" ht="38.25">
      <c r="A14" s="794" t="s">
        <v>2059</v>
      </c>
      <c r="B14" s="795" t="s">
        <v>970</v>
      </c>
      <c r="C14" s="795" t="s">
        <v>2060</v>
      </c>
      <c r="D14" s="796"/>
      <c r="E14" s="796"/>
      <c r="F14" s="796"/>
      <c r="G14" s="796"/>
      <c r="H14" s="797"/>
      <c r="I14" s="797"/>
      <c r="J14" s="798"/>
      <c r="K14" s="804"/>
      <c r="L14" s="799"/>
      <c r="M14" s="797"/>
      <c r="N14" s="797"/>
      <c r="O14" s="797"/>
      <c r="P14" s="785"/>
      <c r="Q14" s="792"/>
      <c r="R14" s="800"/>
      <c r="S14" s="792"/>
      <c r="T14" s="801"/>
      <c r="U14" s="803"/>
      <c r="V14" s="803"/>
      <c r="W14" s="803"/>
      <c r="X14" s="803"/>
      <c r="Y14" s="803"/>
      <c r="Z14" s="803"/>
      <c r="AA14" s="803"/>
      <c r="AB14" s="803"/>
      <c r="AC14" s="803"/>
      <c r="AD14" s="803"/>
      <c r="AE14" s="803"/>
      <c r="AF14" s="803"/>
      <c r="AG14" s="788"/>
    </row>
    <row r="15" spans="1:33" ht="29.25" customHeight="1">
      <c r="A15" s="794" t="s">
        <v>2061</v>
      </c>
      <c r="B15" s="795" t="s">
        <v>970</v>
      </c>
      <c r="C15" s="795" t="s">
        <v>2062</v>
      </c>
      <c r="D15" s="796"/>
      <c r="E15" s="806"/>
      <c r="F15" s="796"/>
      <c r="G15" s="806"/>
      <c r="H15" s="797"/>
      <c r="I15" s="797"/>
      <c r="J15" s="797"/>
      <c r="K15" s="797"/>
      <c r="L15" s="797"/>
      <c r="M15" s="798"/>
      <c r="N15" s="797"/>
      <c r="O15" s="797"/>
      <c r="P15" s="785"/>
      <c r="Q15" s="792"/>
      <c r="R15" s="800"/>
      <c r="S15" s="792"/>
      <c r="T15" s="807"/>
      <c r="U15" s="802"/>
      <c r="V15" s="802"/>
      <c r="W15" s="802"/>
      <c r="X15" s="802"/>
      <c r="Y15" s="802"/>
      <c r="Z15" s="802"/>
      <c r="AA15" s="803"/>
      <c r="AB15" s="802"/>
      <c r="AC15" s="803"/>
      <c r="AD15" s="802"/>
      <c r="AE15" s="802"/>
      <c r="AF15" s="802"/>
      <c r="AG15" s="788"/>
    </row>
    <row r="16" spans="1:33" ht="54.75" customHeight="1">
      <c r="A16" s="794">
        <v>7</v>
      </c>
      <c r="B16" s="795" t="s">
        <v>974</v>
      </c>
      <c r="C16" s="795" t="s">
        <v>2063</v>
      </c>
      <c r="D16" s="797"/>
      <c r="E16" s="797"/>
      <c r="F16" s="797"/>
      <c r="G16" s="797"/>
      <c r="H16" s="806"/>
      <c r="I16" s="806"/>
      <c r="J16" s="797"/>
      <c r="K16" s="797"/>
      <c r="L16" s="797"/>
      <c r="M16" s="798"/>
      <c r="N16" s="797"/>
      <c r="O16" s="797"/>
      <c r="P16" s="785"/>
      <c r="Q16" s="792"/>
      <c r="R16" s="800"/>
      <c r="S16" s="792"/>
      <c r="T16" s="807"/>
      <c r="U16" s="802"/>
      <c r="V16" s="802"/>
      <c r="W16" s="802"/>
      <c r="X16" s="802"/>
      <c r="Y16" s="802"/>
      <c r="Z16" s="802"/>
      <c r="AA16" s="803"/>
      <c r="AB16" s="802"/>
      <c r="AC16" s="803"/>
      <c r="AD16" s="802"/>
      <c r="AE16" s="802"/>
      <c r="AF16" s="802"/>
      <c r="AG16" s="788"/>
    </row>
    <row r="17" spans="1:33" ht="66" customHeight="1">
      <c r="A17" s="794">
        <v>8</v>
      </c>
      <c r="B17" s="795" t="s">
        <v>970</v>
      </c>
      <c r="C17" s="795" t="s">
        <v>2064</v>
      </c>
      <c r="D17" s="797"/>
      <c r="E17" s="797"/>
      <c r="F17" s="797"/>
      <c r="G17" s="797"/>
      <c r="H17" s="797"/>
      <c r="I17" s="806"/>
      <c r="J17" s="806"/>
      <c r="K17" s="797"/>
      <c r="L17" s="797"/>
      <c r="M17" s="798"/>
      <c r="N17" s="797"/>
      <c r="O17" s="797"/>
      <c r="P17" s="785"/>
      <c r="Q17" s="792"/>
      <c r="R17" s="800"/>
      <c r="S17" s="792"/>
      <c r="T17" s="807"/>
      <c r="U17" s="802"/>
      <c r="V17" s="802"/>
      <c r="W17" s="802"/>
      <c r="X17" s="802"/>
      <c r="Y17" s="802"/>
      <c r="Z17" s="802"/>
      <c r="AA17" s="803"/>
      <c r="AB17" s="802"/>
      <c r="AC17" s="803"/>
      <c r="AD17" s="802"/>
      <c r="AE17" s="802"/>
      <c r="AF17" s="802"/>
      <c r="AG17" s="788"/>
    </row>
    <row r="18" spans="1:33" ht="27" customHeight="1">
      <c r="A18" s="794">
        <v>9</v>
      </c>
      <c r="B18" s="808" t="s">
        <v>3703</v>
      </c>
      <c r="C18" s="809" t="s">
        <v>3704</v>
      </c>
      <c r="D18" s="810"/>
      <c r="E18" s="806"/>
      <c r="F18" s="806"/>
      <c r="G18" s="806"/>
      <c r="H18" s="806"/>
      <c r="I18" s="806"/>
      <c r="J18" s="806"/>
      <c r="K18" s="806"/>
      <c r="L18" s="806"/>
      <c r="M18" s="811"/>
      <c r="N18" s="806"/>
      <c r="O18" s="806"/>
      <c r="P18" s="785"/>
      <c r="Q18" s="792"/>
      <c r="R18" s="800"/>
      <c r="S18" s="792"/>
      <c r="T18" s="807"/>
      <c r="U18" s="802"/>
      <c r="V18" s="802"/>
      <c r="W18" s="802"/>
      <c r="X18" s="802"/>
      <c r="Y18" s="802"/>
      <c r="Z18" s="802"/>
      <c r="AA18" s="803"/>
      <c r="AB18" s="802"/>
      <c r="AC18" s="803"/>
      <c r="AD18" s="802"/>
      <c r="AE18" s="802"/>
      <c r="AF18" s="802"/>
      <c r="AG18" s="788"/>
    </row>
    <row r="19" spans="1:33" ht="29.25" customHeight="1">
      <c r="A19" s="791"/>
      <c r="B19" s="812"/>
      <c r="C19" s="812"/>
      <c r="D19" s="802"/>
      <c r="E19" s="802"/>
      <c r="F19" s="802"/>
      <c r="G19" s="802"/>
      <c r="H19" s="802"/>
      <c r="I19" s="802"/>
      <c r="J19" s="802"/>
      <c r="K19" s="802"/>
      <c r="L19" s="802"/>
      <c r="M19" s="803"/>
      <c r="N19" s="802"/>
      <c r="O19" s="802"/>
      <c r="P19" s="785"/>
      <c r="Q19" s="792"/>
      <c r="R19" s="800"/>
      <c r="S19" s="792"/>
      <c r="T19" s="807"/>
      <c r="U19" s="802"/>
      <c r="V19" s="802"/>
      <c r="W19" s="802"/>
      <c r="X19" s="802"/>
      <c r="Y19" s="802"/>
      <c r="Z19" s="802"/>
      <c r="AA19" s="803"/>
      <c r="AB19" s="802"/>
      <c r="AC19" s="803"/>
      <c r="AD19" s="802"/>
      <c r="AE19" s="802"/>
      <c r="AF19" s="802"/>
      <c r="AG19" s="788"/>
    </row>
    <row r="20" spans="1:33" ht="15.75" thickBot="1">
      <c r="A20" s="785"/>
      <c r="B20" s="785"/>
      <c r="C20" s="785"/>
      <c r="D20" s="785"/>
      <c r="E20" s="785"/>
      <c r="F20" s="785"/>
      <c r="G20" s="785"/>
      <c r="H20" s="785"/>
      <c r="I20" s="785"/>
      <c r="J20" s="785"/>
      <c r="K20" s="785"/>
      <c r="L20" s="785"/>
      <c r="M20" s="785"/>
      <c r="N20" s="785"/>
      <c r="O20" s="785"/>
      <c r="P20" s="785"/>
      <c r="Q20" s="786"/>
      <c r="R20" s="787"/>
      <c r="S20" s="787"/>
      <c r="T20" s="787"/>
      <c r="U20" s="787"/>
      <c r="V20" s="787"/>
      <c r="W20" s="787"/>
      <c r="X20" s="787"/>
      <c r="Y20" s="787"/>
      <c r="Z20" s="787"/>
      <c r="AA20" s="787"/>
      <c r="AB20" s="787"/>
      <c r="AC20" s="787"/>
      <c r="AD20" s="787"/>
      <c r="AE20" s="787"/>
      <c r="AF20" s="787"/>
      <c r="AG20" s="788"/>
    </row>
    <row r="21" spans="1:33" ht="21.75" thickBot="1">
      <c r="A21" s="813" t="s">
        <v>3705</v>
      </c>
      <c r="B21" s="813" t="s">
        <v>3706</v>
      </c>
      <c r="C21" s="813" t="s">
        <v>3707</v>
      </c>
      <c r="D21" s="814" t="s">
        <v>3708</v>
      </c>
      <c r="E21" s="813" t="s">
        <v>3053</v>
      </c>
      <c r="F21" s="813" t="s">
        <v>3054</v>
      </c>
      <c r="G21" s="813" t="s">
        <v>3709</v>
      </c>
      <c r="H21" s="813" t="s">
        <v>3063</v>
      </c>
      <c r="I21" s="813" t="s">
        <v>3064</v>
      </c>
      <c r="J21" s="813" t="s">
        <v>3065</v>
      </c>
      <c r="K21" s="813" t="s">
        <v>3067</v>
      </c>
      <c r="L21" s="813" t="s">
        <v>3068</v>
      </c>
      <c r="M21" s="813" t="s">
        <v>3069</v>
      </c>
      <c r="N21" s="813" t="s">
        <v>3071</v>
      </c>
      <c r="O21" s="813" t="s">
        <v>3072</v>
      </c>
      <c r="P21" s="813" t="s">
        <v>3073</v>
      </c>
      <c r="Q21" s="813" t="s">
        <v>3710</v>
      </c>
      <c r="R21" s="813" t="s">
        <v>2890</v>
      </c>
      <c r="S21" s="815"/>
      <c r="T21" s="816"/>
      <c r="U21" s="816"/>
      <c r="V21" s="816"/>
      <c r="W21" s="816"/>
      <c r="X21" s="816"/>
      <c r="Y21" s="816"/>
      <c r="Z21" s="816"/>
      <c r="AA21" s="816"/>
      <c r="AB21" s="816"/>
      <c r="AC21" s="816"/>
      <c r="AD21" s="816"/>
      <c r="AE21" s="816"/>
      <c r="AF21" s="817"/>
      <c r="AG21" s="788"/>
    </row>
    <row r="22" spans="1:33" ht="42">
      <c r="A22" s="818" t="s">
        <v>2049</v>
      </c>
      <c r="B22" s="819" t="s">
        <v>3711</v>
      </c>
      <c r="C22" s="819" t="s">
        <v>3712</v>
      </c>
      <c r="D22" s="820" t="s">
        <v>3713</v>
      </c>
      <c r="E22" s="821" t="s">
        <v>4794</v>
      </c>
      <c r="F22" s="821" t="s">
        <v>4794</v>
      </c>
      <c r="G22" s="821" t="s">
        <v>4794</v>
      </c>
      <c r="H22" s="822">
        <v>20</v>
      </c>
      <c r="I22" s="821" t="s">
        <v>4794</v>
      </c>
      <c r="J22" s="821" t="s">
        <v>4794</v>
      </c>
      <c r="K22" s="821" t="s">
        <v>4794</v>
      </c>
      <c r="L22" s="821" t="s">
        <v>4794</v>
      </c>
      <c r="M22" s="821" t="s">
        <v>4794</v>
      </c>
      <c r="N22" s="821" t="s">
        <v>4794</v>
      </c>
      <c r="O22" s="821" t="s">
        <v>4794</v>
      </c>
      <c r="P22" s="821" t="s">
        <v>4794</v>
      </c>
      <c r="Q22" s="823">
        <f>SUM(E22:P22)</f>
        <v>20</v>
      </c>
      <c r="R22" s="824" t="s">
        <v>3714</v>
      </c>
      <c r="S22" s="825"/>
      <c r="T22" s="826"/>
      <c r="U22" s="826"/>
      <c r="V22" s="826"/>
      <c r="W22" s="826"/>
      <c r="X22" s="826"/>
      <c r="Y22" s="826"/>
      <c r="Z22" s="826"/>
      <c r="AA22" s="826"/>
      <c r="AB22" s="826"/>
      <c r="AC22" s="826"/>
      <c r="AD22" s="826"/>
      <c r="AE22" s="826"/>
      <c r="AF22" s="826"/>
      <c r="AG22" s="788"/>
    </row>
    <row r="23" spans="1:33" ht="42">
      <c r="A23" s="827" t="s">
        <v>2051</v>
      </c>
      <c r="B23" s="828" t="s">
        <v>3711</v>
      </c>
      <c r="C23" s="828" t="s">
        <v>3715</v>
      </c>
      <c r="D23" s="829" t="s">
        <v>3716</v>
      </c>
      <c r="E23" s="830" t="s">
        <v>4794</v>
      </c>
      <c r="F23" s="830" t="s">
        <v>4794</v>
      </c>
      <c r="G23" s="830"/>
      <c r="H23" s="830" t="s">
        <v>4794</v>
      </c>
      <c r="I23" s="830" t="s">
        <v>4794</v>
      </c>
      <c r="J23" s="831">
        <v>50</v>
      </c>
      <c r="K23" s="830" t="s">
        <v>4794</v>
      </c>
      <c r="L23" s="830" t="s">
        <v>4794</v>
      </c>
      <c r="M23" s="830" t="s">
        <v>4794</v>
      </c>
      <c r="N23" s="830" t="s">
        <v>4794</v>
      </c>
      <c r="O23" s="830" t="s">
        <v>4794</v>
      </c>
      <c r="P23" s="830" t="s">
        <v>4794</v>
      </c>
      <c r="Q23" s="832">
        <f t="shared" ref="Q23:Q90" si="0">SUM(E23:P23)</f>
        <v>50</v>
      </c>
      <c r="R23" s="833" t="s">
        <v>3714</v>
      </c>
      <c r="S23" s="825"/>
      <c r="T23" s="826"/>
      <c r="U23" s="826"/>
      <c r="V23" s="826"/>
      <c r="W23" s="826"/>
      <c r="X23" s="826"/>
      <c r="Y23" s="826"/>
      <c r="Z23" s="826"/>
      <c r="AA23" s="826"/>
      <c r="AB23" s="826"/>
      <c r="AC23" s="826"/>
      <c r="AD23" s="826"/>
      <c r="AE23" s="826"/>
      <c r="AF23" s="826"/>
      <c r="AG23" s="788"/>
    </row>
    <row r="24" spans="1:33" ht="52.5">
      <c r="A24" s="827" t="s">
        <v>2053</v>
      </c>
      <c r="B24" s="828" t="s">
        <v>3711</v>
      </c>
      <c r="C24" s="828" t="s">
        <v>3717</v>
      </c>
      <c r="D24" s="829" t="s">
        <v>3718</v>
      </c>
      <c r="E24" s="830" t="s">
        <v>4794</v>
      </c>
      <c r="F24" s="830" t="s">
        <v>4794</v>
      </c>
      <c r="G24" s="830" t="s">
        <v>4794</v>
      </c>
      <c r="H24" s="830" t="s">
        <v>4794</v>
      </c>
      <c r="I24" s="831">
        <v>0.2</v>
      </c>
      <c r="J24" s="830"/>
      <c r="K24" s="830" t="s">
        <v>4794</v>
      </c>
      <c r="L24" s="830" t="s">
        <v>4794</v>
      </c>
      <c r="M24" s="830" t="s">
        <v>4794</v>
      </c>
      <c r="N24" s="830" t="s">
        <v>4794</v>
      </c>
      <c r="O24" s="830" t="s">
        <v>4794</v>
      </c>
      <c r="P24" s="830" t="s">
        <v>4794</v>
      </c>
      <c r="Q24" s="832">
        <f t="shared" si="0"/>
        <v>0.2</v>
      </c>
      <c r="R24" s="833" t="s">
        <v>3719</v>
      </c>
      <c r="S24" s="825"/>
      <c r="T24" s="826"/>
      <c r="U24" s="826"/>
      <c r="V24" s="826"/>
      <c r="W24" s="826"/>
      <c r="X24" s="826"/>
      <c r="Y24" s="826"/>
      <c r="Z24" s="826"/>
      <c r="AA24" s="826"/>
      <c r="AB24" s="826"/>
      <c r="AC24" s="826"/>
      <c r="AD24" s="826"/>
      <c r="AE24" s="826"/>
      <c r="AF24" s="826"/>
      <c r="AG24" s="788"/>
    </row>
    <row r="25" spans="1:33" ht="52.5">
      <c r="A25" s="827" t="s">
        <v>2056</v>
      </c>
      <c r="B25" s="828" t="s">
        <v>3711</v>
      </c>
      <c r="C25" s="828" t="s">
        <v>3720</v>
      </c>
      <c r="D25" s="829" t="s">
        <v>3721</v>
      </c>
      <c r="E25" s="830" t="s">
        <v>4794</v>
      </c>
      <c r="F25" s="830" t="s">
        <v>4794</v>
      </c>
      <c r="G25" s="830" t="s">
        <v>4794</v>
      </c>
      <c r="H25" s="830"/>
      <c r="I25" s="830" t="s">
        <v>4794</v>
      </c>
      <c r="J25" s="831">
        <v>0.1</v>
      </c>
      <c r="K25" s="831">
        <v>0.15</v>
      </c>
      <c r="L25" s="830" t="s">
        <v>4794</v>
      </c>
      <c r="M25" s="830" t="s">
        <v>4794</v>
      </c>
      <c r="N25" s="830" t="s">
        <v>4794</v>
      </c>
      <c r="O25" s="830" t="s">
        <v>4794</v>
      </c>
      <c r="P25" s="830" t="s">
        <v>4794</v>
      </c>
      <c r="Q25" s="832">
        <f t="shared" si="0"/>
        <v>0.25</v>
      </c>
      <c r="R25" s="833" t="s">
        <v>3719</v>
      </c>
      <c r="S25" s="825"/>
      <c r="T25" s="826"/>
      <c r="U25" s="826"/>
      <c r="V25" s="826"/>
      <c r="W25" s="826"/>
      <c r="X25" s="826"/>
      <c r="Y25" s="826"/>
      <c r="Z25" s="826"/>
      <c r="AA25" s="826"/>
      <c r="AB25" s="826"/>
      <c r="AC25" s="826"/>
      <c r="AD25" s="826"/>
      <c r="AE25" s="826"/>
      <c r="AF25" s="826"/>
      <c r="AG25" s="788"/>
    </row>
    <row r="26" spans="1:33" ht="73.5">
      <c r="A26" s="827" t="s">
        <v>2059</v>
      </c>
      <c r="B26" s="828" t="s">
        <v>3711</v>
      </c>
      <c r="C26" s="828" t="s">
        <v>3722</v>
      </c>
      <c r="D26" s="829" t="s">
        <v>3723</v>
      </c>
      <c r="E26" s="830" t="s">
        <v>4794</v>
      </c>
      <c r="F26" s="830" t="s">
        <v>4794</v>
      </c>
      <c r="G26" s="830"/>
      <c r="H26" s="830" t="s">
        <v>4794</v>
      </c>
      <c r="I26" s="830" t="s">
        <v>4794</v>
      </c>
      <c r="J26" s="831">
        <v>0.5</v>
      </c>
      <c r="K26" s="830" t="s">
        <v>4794</v>
      </c>
      <c r="L26" s="830" t="s">
        <v>4794</v>
      </c>
      <c r="M26" s="830" t="s">
        <v>4794</v>
      </c>
      <c r="N26" s="830" t="s">
        <v>4794</v>
      </c>
      <c r="O26" s="830" t="s">
        <v>4794</v>
      </c>
      <c r="P26" s="830" t="s">
        <v>4794</v>
      </c>
      <c r="Q26" s="832">
        <f t="shared" si="0"/>
        <v>0.5</v>
      </c>
      <c r="R26" s="833" t="s">
        <v>3719</v>
      </c>
      <c r="S26" s="825"/>
      <c r="T26" s="826"/>
      <c r="U26" s="826"/>
      <c r="V26" s="826"/>
      <c r="W26" s="826"/>
      <c r="X26" s="826"/>
      <c r="Y26" s="826"/>
      <c r="Z26" s="826"/>
      <c r="AA26" s="826"/>
      <c r="AB26" s="826"/>
      <c r="AC26" s="826"/>
      <c r="AD26" s="826"/>
      <c r="AE26" s="826"/>
      <c r="AF26" s="826"/>
      <c r="AG26" s="788"/>
    </row>
    <row r="27" spans="1:33" ht="42">
      <c r="A27" s="827" t="s">
        <v>2061</v>
      </c>
      <c r="B27" s="828" t="s">
        <v>3711</v>
      </c>
      <c r="C27" s="828" t="s">
        <v>3724</v>
      </c>
      <c r="D27" s="829" t="s">
        <v>3725</v>
      </c>
      <c r="E27" s="830" t="s">
        <v>4794</v>
      </c>
      <c r="F27" s="830" t="s">
        <v>4794</v>
      </c>
      <c r="G27" s="830" t="s">
        <v>4794</v>
      </c>
      <c r="H27" s="830" t="s">
        <v>4794</v>
      </c>
      <c r="I27" s="831">
        <v>0.1</v>
      </c>
      <c r="J27" s="830"/>
      <c r="K27" s="831">
        <v>0.1</v>
      </c>
      <c r="L27" s="831">
        <v>0.2</v>
      </c>
      <c r="M27" s="830" t="s">
        <v>4794</v>
      </c>
      <c r="N27" s="831">
        <v>0.1</v>
      </c>
      <c r="O27" s="830" t="s">
        <v>4794</v>
      </c>
      <c r="P27" s="830" t="s">
        <v>4794</v>
      </c>
      <c r="Q27" s="832">
        <f t="shared" si="0"/>
        <v>0.5</v>
      </c>
      <c r="R27" s="833" t="s">
        <v>3719</v>
      </c>
      <c r="S27" s="825"/>
      <c r="T27" s="826"/>
      <c r="U27" s="826"/>
      <c r="V27" s="826"/>
      <c r="W27" s="826"/>
      <c r="X27" s="826"/>
      <c r="Y27" s="826"/>
      <c r="Z27" s="826"/>
      <c r="AA27" s="826"/>
      <c r="AB27" s="826"/>
      <c r="AC27" s="826"/>
      <c r="AD27" s="826"/>
      <c r="AE27" s="826"/>
      <c r="AF27" s="826"/>
      <c r="AG27" s="788"/>
    </row>
    <row r="28" spans="1:33" ht="42">
      <c r="A28" s="827" t="s">
        <v>3726</v>
      </c>
      <c r="B28" s="828" t="s">
        <v>3711</v>
      </c>
      <c r="C28" s="828" t="s">
        <v>3727</v>
      </c>
      <c r="D28" s="829" t="s">
        <v>3728</v>
      </c>
      <c r="E28" s="830" t="s">
        <v>4794</v>
      </c>
      <c r="F28" s="830" t="s">
        <v>4794</v>
      </c>
      <c r="G28" s="830"/>
      <c r="H28" s="831">
        <v>0.1</v>
      </c>
      <c r="I28" s="831">
        <v>0.1</v>
      </c>
      <c r="J28" s="830"/>
      <c r="K28" s="830" t="s">
        <v>4794</v>
      </c>
      <c r="L28" s="831">
        <v>0.1</v>
      </c>
      <c r="M28" s="830" t="s">
        <v>4794</v>
      </c>
      <c r="N28" s="830" t="s">
        <v>4794</v>
      </c>
      <c r="O28" s="830"/>
      <c r="P28" s="830" t="s">
        <v>4794</v>
      </c>
      <c r="Q28" s="832">
        <f t="shared" si="0"/>
        <v>0.30000000000000004</v>
      </c>
      <c r="R28" s="833" t="s">
        <v>3719</v>
      </c>
      <c r="S28" s="825"/>
      <c r="T28" s="826"/>
      <c r="U28" s="826"/>
      <c r="V28" s="826"/>
      <c r="W28" s="826"/>
      <c r="X28" s="826"/>
      <c r="Y28" s="826"/>
      <c r="Z28" s="826"/>
      <c r="AA28" s="826"/>
      <c r="AB28" s="826"/>
      <c r="AC28" s="826"/>
      <c r="AD28" s="826"/>
      <c r="AE28" s="826"/>
      <c r="AF28" s="826"/>
      <c r="AG28" s="788"/>
    </row>
    <row r="29" spans="1:33" ht="73.5">
      <c r="A29" s="827" t="s">
        <v>3729</v>
      </c>
      <c r="B29" s="828" t="s">
        <v>3711</v>
      </c>
      <c r="C29" s="828" t="s">
        <v>3730</v>
      </c>
      <c r="D29" s="829" t="s">
        <v>3998</v>
      </c>
      <c r="E29" s="830" t="s">
        <v>4794</v>
      </c>
      <c r="F29" s="830" t="s">
        <v>4794</v>
      </c>
      <c r="G29" s="830" t="s">
        <v>4794</v>
      </c>
      <c r="H29" s="830"/>
      <c r="I29" s="831">
        <v>0.2</v>
      </c>
      <c r="J29" s="830"/>
      <c r="K29" s="831">
        <v>0.2</v>
      </c>
      <c r="L29" s="831">
        <v>0.2</v>
      </c>
      <c r="M29" s="831">
        <v>0.1</v>
      </c>
      <c r="N29" s="830" t="s">
        <v>4794</v>
      </c>
      <c r="O29" s="830" t="s">
        <v>4794</v>
      </c>
      <c r="P29" s="830" t="s">
        <v>4794</v>
      </c>
      <c r="Q29" s="832">
        <f t="shared" si="0"/>
        <v>0.70000000000000007</v>
      </c>
      <c r="R29" s="833" t="s">
        <v>3719</v>
      </c>
      <c r="S29" s="787"/>
      <c r="T29" s="787"/>
      <c r="U29" s="787"/>
      <c r="V29" s="787"/>
      <c r="W29" s="787"/>
      <c r="X29" s="787"/>
      <c r="Y29" s="787"/>
      <c r="Z29" s="787"/>
      <c r="AA29" s="787"/>
      <c r="AB29" s="787"/>
      <c r="AC29" s="787"/>
      <c r="AD29" s="787"/>
      <c r="AE29" s="787"/>
      <c r="AF29" s="787"/>
      <c r="AG29" s="788"/>
    </row>
    <row r="30" spans="1:33" ht="73.5">
      <c r="A30" s="827" t="s">
        <v>3999</v>
      </c>
      <c r="B30" s="828" t="s">
        <v>3711</v>
      </c>
      <c r="C30" s="828" t="s">
        <v>4000</v>
      </c>
      <c r="D30" s="829" t="s">
        <v>4001</v>
      </c>
      <c r="E30" s="830" t="s">
        <v>4794</v>
      </c>
      <c r="F30" s="830" t="s">
        <v>4794</v>
      </c>
      <c r="G30" s="830"/>
      <c r="H30" s="830" t="s">
        <v>4794</v>
      </c>
      <c r="I30" s="830"/>
      <c r="J30" s="830"/>
      <c r="K30" s="831">
        <v>0.1</v>
      </c>
      <c r="L30" s="831">
        <v>0.1</v>
      </c>
      <c r="M30" s="831">
        <v>0.1</v>
      </c>
      <c r="N30" s="830" t="s">
        <v>4794</v>
      </c>
      <c r="O30" s="830" t="s">
        <v>4794</v>
      </c>
      <c r="P30" s="830"/>
      <c r="Q30" s="832">
        <f t="shared" si="0"/>
        <v>0.30000000000000004</v>
      </c>
      <c r="R30" s="833" t="s">
        <v>3719</v>
      </c>
      <c r="S30" s="825"/>
      <c r="T30" s="826"/>
      <c r="U30" s="826"/>
      <c r="V30" s="826"/>
      <c r="W30" s="826"/>
      <c r="X30" s="826"/>
      <c r="Y30" s="826"/>
      <c r="Z30" s="826"/>
      <c r="AA30" s="826"/>
      <c r="AB30" s="826"/>
      <c r="AC30" s="826"/>
      <c r="AD30" s="826"/>
      <c r="AE30" s="826"/>
      <c r="AF30" s="826"/>
      <c r="AG30" s="788"/>
    </row>
    <row r="31" spans="1:33" ht="73.5">
      <c r="A31" s="827" t="s">
        <v>4002</v>
      </c>
      <c r="B31" s="828" t="s">
        <v>3711</v>
      </c>
      <c r="C31" s="828" t="s">
        <v>4003</v>
      </c>
      <c r="D31" s="829" t="s">
        <v>4004</v>
      </c>
      <c r="E31" s="830" t="s">
        <v>4794</v>
      </c>
      <c r="F31" s="830" t="s">
        <v>4794</v>
      </c>
      <c r="G31" s="830" t="s">
        <v>4794</v>
      </c>
      <c r="H31" s="830" t="s">
        <v>4794</v>
      </c>
      <c r="I31" s="831">
        <v>0.1</v>
      </c>
      <c r="J31" s="830"/>
      <c r="K31" s="831">
        <v>0.1</v>
      </c>
      <c r="L31" s="831">
        <v>0.1</v>
      </c>
      <c r="M31" s="831">
        <v>0.1</v>
      </c>
      <c r="N31" s="831">
        <v>0.1</v>
      </c>
      <c r="O31" s="830"/>
      <c r="P31" s="830" t="s">
        <v>4794</v>
      </c>
      <c r="Q31" s="832">
        <f t="shared" si="0"/>
        <v>0.5</v>
      </c>
      <c r="R31" s="833" t="s">
        <v>3719</v>
      </c>
      <c r="S31" s="825"/>
      <c r="T31" s="826"/>
      <c r="U31" s="826"/>
      <c r="V31" s="826"/>
      <c r="W31" s="826"/>
      <c r="X31" s="826"/>
      <c r="Y31" s="826"/>
      <c r="Z31" s="826"/>
      <c r="AA31" s="826"/>
      <c r="AB31" s="826"/>
      <c r="AC31" s="826"/>
      <c r="AD31" s="826"/>
      <c r="AE31" s="826"/>
      <c r="AF31" s="826"/>
      <c r="AG31" s="788"/>
    </row>
    <row r="32" spans="1:33" ht="73.5">
      <c r="A32" s="827" t="s">
        <v>4005</v>
      </c>
      <c r="B32" s="828" t="s">
        <v>3711</v>
      </c>
      <c r="C32" s="828" t="s">
        <v>4006</v>
      </c>
      <c r="D32" s="829" t="s">
        <v>4007</v>
      </c>
      <c r="E32" s="830" t="s">
        <v>4794</v>
      </c>
      <c r="F32" s="830" t="s">
        <v>4794</v>
      </c>
      <c r="G32" s="830"/>
      <c r="H32" s="830" t="s">
        <v>4794</v>
      </c>
      <c r="I32" s="831">
        <v>0.1</v>
      </c>
      <c r="J32" s="830"/>
      <c r="K32" s="831">
        <v>0.1</v>
      </c>
      <c r="L32" s="831">
        <v>0.1</v>
      </c>
      <c r="M32" s="831">
        <v>0.1</v>
      </c>
      <c r="N32" s="831">
        <v>0.1</v>
      </c>
      <c r="O32" s="830"/>
      <c r="P32" s="830"/>
      <c r="Q32" s="832">
        <f t="shared" si="0"/>
        <v>0.5</v>
      </c>
      <c r="R32" s="833" t="s">
        <v>3719</v>
      </c>
      <c r="S32" s="834"/>
      <c r="T32" s="835"/>
      <c r="U32" s="835"/>
      <c r="V32" s="835"/>
      <c r="W32" s="835"/>
      <c r="X32" s="835"/>
      <c r="Y32" s="835"/>
      <c r="Z32" s="835"/>
      <c r="AA32" s="835"/>
      <c r="AB32" s="835"/>
      <c r="AC32" s="835"/>
      <c r="AD32" s="835"/>
      <c r="AE32" s="835"/>
      <c r="AF32" s="835"/>
      <c r="AG32" s="785"/>
    </row>
    <row r="33" spans="1:33" ht="42">
      <c r="A33" s="827" t="s">
        <v>4008</v>
      </c>
      <c r="B33" s="828" t="s">
        <v>3711</v>
      </c>
      <c r="C33" s="828" t="s">
        <v>4009</v>
      </c>
      <c r="D33" s="829" t="s">
        <v>4010</v>
      </c>
      <c r="E33" s="830" t="s">
        <v>4794</v>
      </c>
      <c r="F33" s="830" t="s">
        <v>4794</v>
      </c>
      <c r="G33" s="830"/>
      <c r="H33" s="830" t="s">
        <v>4794</v>
      </c>
      <c r="I33" s="831">
        <v>0.1</v>
      </c>
      <c r="J33" s="830"/>
      <c r="K33" s="831">
        <v>0.1</v>
      </c>
      <c r="L33" s="831">
        <v>0.1</v>
      </c>
      <c r="M33" s="831">
        <v>0.1</v>
      </c>
      <c r="N33" s="831">
        <v>0.1</v>
      </c>
      <c r="O33" s="830"/>
      <c r="P33" s="830"/>
      <c r="Q33" s="832">
        <f t="shared" si="0"/>
        <v>0.5</v>
      </c>
      <c r="R33" s="833" t="s">
        <v>3719</v>
      </c>
      <c r="S33" s="834"/>
      <c r="T33" s="835"/>
      <c r="U33" s="835"/>
      <c r="V33" s="835"/>
      <c r="W33" s="835"/>
      <c r="X33" s="835"/>
      <c r="Y33" s="835"/>
      <c r="Z33" s="835"/>
      <c r="AA33" s="835"/>
      <c r="AB33" s="835"/>
      <c r="AC33" s="835"/>
      <c r="AD33" s="835"/>
      <c r="AE33" s="835"/>
      <c r="AF33" s="835"/>
      <c r="AG33" s="785"/>
    </row>
    <row r="34" spans="1:33" ht="42">
      <c r="A34" s="827" t="s">
        <v>4011</v>
      </c>
      <c r="B34" s="828" t="s">
        <v>3711</v>
      </c>
      <c r="C34" s="828" t="s">
        <v>4012</v>
      </c>
      <c r="D34" s="829" t="s">
        <v>4013</v>
      </c>
      <c r="E34" s="830" t="s">
        <v>4794</v>
      </c>
      <c r="F34" s="830"/>
      <c r="G34" s="830" t="s">
        <v>4794</v>
      </c>
      <c r="H34" s="831">
        <v>0.2</v>
      </c>
      <c r="I34" s="831">
        <v>0.1</v>
      </c>
      <c r="J34" s="830"/>
      <c r="K34" s="830" t="s">
        <v>4794</v>
      </c>
      <c r="L34" s="831">
        <v>0.1</v>
      </c>
      <c r="M34" s="831">
        <v>0.1</v>
      </c>
      <c r="N34" s="831">
        <v>0.1</v>
      </c>
      <c r="O34" s="830"/>
      <c r="P34" s="830" t="s">
        <v>4794</v>
      </c>
      <c r="Q34" s="832">
        <f t="shared" si="0"/>
        <v>0.6</v>
      </c>
      <c r="R34" s="833" t="s">
        <v>3719</v>
      </c>
      <c r="S34" s="834"/>
      <c r="T34" s="835"/>
      <c r="U34" s="835"/>
      <c r="V34" s="835"/>
      <c r="W34" s="835"/>
      <c r="X34" s="835"/>
      <c r="Y34" s="835"/>
      <c r="Z34" s="835"/>
      <c r="AA34" s="835"/>
      <c r="AB34" s="835"/>
      <c r="AC34" s="835"/>
      <c r="AD34" s="835"/>
      <c r="AE34" s="835"/>
      <c r="AF34" s="835"/>
      <c r="AG34" s="785"/>
    </row>
    <row r="35" spans="1:33" ht="42">
      <c r="A35" s="827" t="s">
        <v>4014</v>
      </c>
      <c r="B35" s="828" t="s">
        <v>3711</v>
      </c>
      <c r="C35" s="828" t="s">
        <v>4015</v>
      </c>
      <c r="D35" s="829" t="s">
        <v>4016</v>
      </c>
      <c r="E35" s="830" t="s">
        <v>4794</v>
      </c>
      <c r="F35" s="830"/>
      <c r="G35" s="830" t="s">
        <v>4794</v>
      </c>
      <c r="H35" s="831">
        <v>0.2</v>
      </c>
      <c r="I35" s="830" t="s">
        <v>4794</v>
      </c>
      <c r="J35" s="830"/>
      <c r="K35" s="831">
        <v>0.1</v>
      </c>
      <c r="L35" s="831">
        <v>0.2</v>
      </c>
      <c r="M35" s="830" t="s">
        <v>4794</v>
      </c>
      <c r="N35" s="830" t="s">
        <v>4794</v>
      </c>
      <c r="O35" s="830" t="s">
        <v>4794</v>
      </c>
      <c r="P35" s="830" t="s">
        <v>4794</v>
      </c>
      <c r="Q35" s="832">
        <f t="shared" si="0"/>
        <v>0.5</v>
      </c>
      <c r="R35" s="833" t="s">
        <v>3719</v>
      </c>
      <c r="S35" s="836"/>
      <c r="T35" s="837"/>
      <c r="U35" s="837"/>
      <c r="V35" s="837"/>
      <c r="W35" s="837"/>
      <c r="X35" s="837"/>
      <c r="Y35" s="837"/>
      <c r="Z35" s="837"/>
      <c r="AA35" s="837"/>
      <c r="AB35" s="837"/>
      <c r="AC35" s="837"/>
      <c r="AD35" s="837"/>
      <c r="AE35" s="837"/>
      <c r="AF35" s="835"/>
      <c r="AG35" s="785"/>
    </row>
    <row r="36" spans="1:33" ht="42.75" thickBot="1">
      <c r="A36" s="838" t="s">
        <v>4017</v>
      </c>
      <c r="B36" s="839" t="s">
        <v>3711</v>
      </c>
      <c r="C36" s="839" t="s">
        <v>4018</v>
      </c>
      <c r="D36" s="840" t="s">
        <v>4019</v>
      </c>
      <c r="E36" s="841" t="s">
        <v>4794</v>
      </c>
      <c r="F36" s="841" t="s">
        <v>4794</v>
      </c>
      <c r="G36" s="841"/>
      <c r="H36" s="841" t="s">
        <v>4794</v>
      </c>
      <c r="I36" s="842">
        <v>0.2</v>
      </c>
      <c r="J36" s="841" t="s">
        <v>4794</v>
      </c>
      <c r="K36" s="842">
        <v>0.2</v>
      </c>
      <c r="L36" s="841" t="s">
        <v>4794</v>
      </c>
      <c r="M36" s="841" t="s">
        <v>4794</v>
      </c>
      <c r="N36" s="842">
        <v>0.2</v>
      </c>
      <c r="O36" s="841" t="s">
        <v>4794</v>
      </c>
      <c r="P36" s="841" t="s">
        <v>4794</v>
      </c>
      <c r="Q36" s="843">
        <f t="shared" si="0"/>
        <v>0.60000000000000009</v>
      </c>
      <c r="R36" s="844" t="s">
        <v>3719</v>
      </c>
      <c r="S36" s="834"/>
      <c r="T36" s="835"/>
      <c r="U36" s="835"/>
      <c r="V36" s="835"/>
      <c r="W36" s="835"/>
      <c r="X36" s="835"/>
      <c r="Y36" s="835"/>
      <c r="Z36" s="835"/>
      <c r="AA36" s="835"/>
      <c r="AB36" s="835"/>
      <c r="AC36" s="835"/>
      <c r="AD36" s="835"/>
      <c r="AE36" s="835"/>
      <c r="AF36" s="835"/>
      <c r="AG36" s="785"/>
    </row>
    <row r="37" spans="1:33" ht="21.75" thickBot="1">
      <c r="A37" s="845"/>
      <c r="B37" s="846"/>
      <c r="C37" s="846"/>
      <c r="D37" s="847" t="s">
        <v>4020</v>
      </c>
      <c r="E37" s="848"/>
      <c r="F37" s="848"/>
      <c r="G37" s="848"/>
      <c r="H37" s="848"/>
      <c r="I37" s="848"/>
      <c r="J37" s="848"/>
      <c r="K37" s="848"/>
      <c r="L37" s="848"/>
      <c r="M37" s="848"/>
      <c r="N37" s="848"/>
      <c r="O37" s="848"/>
      <c r="P37" s="848"/>
      <c r="Q37" s="849">
        <f t="shared" si="0"/>
        <v>0</v>
      </c>
      <c r="R37" s="845"/>
      <c r="S37" s="834"/>
      <c r="T37" s="835"/>
      <c r="U37" s="835"/>
      <c r="V37" s="835"/>
      <c r="W37" s="835"/>
      <c r="X37" s="835"/>
      <c r="Y37" s="835"/>
      <c r="Z37" s="835"/>
      <c r="AA37" s="835"/>
      <c r="AB37" s="835"/>
      <c r="AC37" s="835"/>
      <c r="AD37" s="835"/>
      <c r="AE37" s="835"/>
      <c r="AF37" s="835"/>
      <c r="AG37" s="785"/>
    </row>
    <row r="38" spans="1:33" ht="73.5">
      <c r="A38" s="818" t="s">
        <v>4021</v>
      </c>
      <c r="B38" s="819" t="s">
        <v>4022</v>
      </c>
      <c r="C38" s="819" t="s">
        <v>4023</v>
      </c>
      <c r="D38" s="820" t="s">
        <v>4024</v>
      </c>
      <c r="E38" s="821" t="s">
        <v>4794</v>
      </c>
      <c r="F38" s="821" t="s">
        <v>4794</v>
      </c>
      <c r="G38" s="821" t="s">
        <v>4794</v>
      </c>
      <c r="H38" s="821" t="s">
        <v>4794</v>
      </c>
      <c r="I38" s="821" t="s">
        <v>4794</v>
      </c>
      <c r="J38" s="821" t="s">
        <v>4794</v>
      </c>
      <c r="K38" s="822">
        <v>1</v>
      </c>
      <c r="L38" s="821" t="s">
        <v>4794</v>
      </c>
      <c r="M38" s="821" t="s">
        <v>4794</v>
      </c>
      <c r="N38" s="821" t="s">
        <v>4794</v>
      </c>
      <c r="O38" s="821" t="s">
        <v>4794</v>
      </c>
      <c r="P38" s="821" t="s">
        <v>4794</v>
      </c>
      <c r="Q38" s="823">
        <f t="shared" si="0"/>
        <v>1</v>
      </c>
      <c r="R38" s="824" t="s">
        <v>4025</v>
      </c>
      <c r="S38" s="834"/>
      <c r="T38" s="835"/>
      <c r="U38" s="835"/>
      <c r="V38" s="835"/>
      <c r="W38" s="835"/>
      <c r="X38" s="835"/>
      <c r="Y38" s="835"/>
      <c r="Z38" s="835"/>
      <c r="AA38" s="835"/>
      <c r="AB38" s="835"/>
      <c r="AC38" s="835"/>
      <c r="AD38" s="835"/>
      <c r="AE38" s="835"/>
      <c r="AF38" s="835"/>
      <c r="AG38" s="785"/>
    </row>
    <row r="39" spans="1:33" ht="42">
      <c r="A39" s="827" t="s">
        <v>4026</v>
      </c>
      <c r="B39" s="828" t="s">
        <v>4022</v>
      </c>
      <c r="C39" s="828" t="s">
        <v>4027</v>
      </c>
      <c r="D39" s="829" t="s">
        <v>4028</v>
      </c>
      <c r="E39" s="830" t="s">
        <v>4794</v>
      </c>
      <c r="F39" s="830" t="s">
        <v>4794</v>
      </c>
      <c r="G39" s="831">
        <v>2</v>
      </c>
      <c r="H39" s="830" t="s">
        <v>4794</v>
      </c>
      <c r="I39" s="830" t="s">
        <v>4794</v>
      </c>
      <c r="J39" s="831">
        <v>2</v>
      </c>
      <c r="K39" s="830" t="s">
        <v>4794</v>
      </c>
      <c r="L39" s="830" t="s">
        <v>4794</v>
      </c>
      <c r="M39" s="831">
        <v>2</v>
      </c>
      <c r="N39" s="830" t="s">
        <v>4794</v>
      </c>
      <c r="O39" s="830" t="s">
        <v>4794</v>
      </c>
      <c r="P39" s="830" t="s">
        <v>4794</v>
      </c>
      <c r="Q39" s="832">
        <f t="shared" si="0"/>
        <v>6</v>
      </c>
      <c r="R39" s="833" t="s">
        <v>4025</v>
      </c>
      <c r="S39" s="834"/>
      <c r="T39" s="835"/>
      <c r="U39" s="835"/>
      <c r="V39" s="835"/>
      <c r="W39" s="835"/>
      <c r="X39" s="835"/>
      <c r="Y39" s="835"/>
      <c r="Z39" s="835"/>
      <c r="AA39" s="835"/>
      <c r="AB39" s="835"/>
      <c r="AC39" s="835"/>
      <c r="AD39" s="835"/>
      <c r="AE39" s="835"/>
      <c r="AF39" s="835"/>
    </row>
    <row r="40" spans="1:33" ht="42">
      <c r="A40" s="827" t="s">
        <v>4029</v>
      </c>
      <c r="B40" s="828" t="s">
        <v>4022</v>
      </c>
      <c r="C40" s="828" t="s">
        <v>4030</v>
      </c>
      <c r="D40" s="829" t="s">
        <v>4031</v>
      </c>
      <c r="E40" s="830" t="s">
        <v>4794</v>
      </c>
      <c r="F40" s="830" t="s">
        <v>4794</v>
      </c>
      <c r="G40" s="831">
        <v>2</v>
      </c>
      <c r="H40" s="830" t="s">
        <v>4794</v>
      </c>
      <c r="I40" s="830" t="s">
        <v>4794</v>
      </c>
      <c r="J40" s="831">
        <v>2</v>
      </c>
      <c r="K40" s="830" t="s">
        <v>4794</v>
      </c>
      <c r="L40" s="830" t="s">
        <v>4794</v>
      </c>
      <c r="M40" s="831">
        <v>2</v>
      </c>
      <c r="N40" s="830" t="s">
        <v>4794</v>
      </c>
      <c r="O40" s="830" t="s">
        <v>4794</v>
      </c>
      <c r="P40" s="830" t="s">
        <v>4794</v>
      </c>
      <c r="Q40" s="832">
        <f t="shared" si="0"/>
        <v>6</v>
      </c>
      <c r="R40" s="833" t="s">
        <v>4025</v>
      </c>
      <c r="S40" s="834"/>
      <c r="T40" s="835"/>
      <c r="U40" s="835"/>
      <c r="V40" s="835"/>
      <c r="W40" s="835"/>
      <c r="X40" s="835"/>
      <c r="Y40" s="835"/>
      <c r="Z40" s="835"/>
      <c r="AA40" s="835"/>
      <c r="AB40" s="835"/>
      <c r="AC40" s="835"/>
      <c r="AD40" s="835"/>
      <c r="AE40" s="835"/>
      <c r="AF40" s="835"/>
    </row>
    <row r="41" spans="1:33" ht="52.5">
      <c r="A41" s="827" t="s">
        <v>4032</v>
      </c>
      <c r="B41" s="828" t="s">
        <v>4022</v>
      </c>
      <c r="C41" s="828" t="s">
        <v>4033</v>
      </c>
      <c r="D41" s="829" t="s">
        <v>4034</v>
      </c>
      <c r="E41" s="830" t="s">
        <v>4794</v>
      </c>
      <c r="F41" s="830" t="s">
        <v>4794</v>
      </c>
      <c r="G41" s="830" t="s">
        <v>4794</v>
      </c>
      <c r="H41" s="830" t="s">
        <v>4794</v>
      </c>
      <c r="I41" s="831">
        <v>10</v>
      </c>
      <c r="J41" s="830" t="s">
        <v>4794</v>
      </c>
      <c r="K41" s="830" t="s">
        <v>4794</v>
      </c>
      <c r="L41" s="830" t="s">
        <v>4794</v>
      </c>
      <c r="M41" s="830" t="s">
        <v>4794</v>
      </c>
      <c r="N41" s="830" t="s">
        <v>4794</v>
      </c>
      <c r="O41" s="830" t="s">
        <v>4794</v>
      </c>
      <c r="P41" s="830" t="s">
        <v>4794</v>
      </c>
      <c r="Q41" s="832">
        <f t="shared" si="0"/>
        <v>10</v>
      </c>
      <c r="R41" s="833" t="s">
        <v>4025</v>
      </c>
      <c r="S41" s="834"/>
      <c r="T41" s="835"/>
      <c r="U41" s="835"/>
      <c r="V41" s="835"/>
      <c r="W41" s="835"/>
      <c r="X41" s="835"/>
      <c r="Y41" s="835"/>
      <c r="Z41" s="835"/>
      <c r="AA41" s="835"/>
      <c r="AB41" s="835"/>
      <c r="AC41" s="835"/>
      <c r="AD41" s="835"/>
      <c r="AE41" s="835"/>
      <c r="AF41" s="835"/>
    </row>
    <row r="42" spans="1:33" ht="42">
      <c r="A42" s="827" t="s">
        <v>4035</v>
      </c>
      <c r="B42" s="828" t="s">
        <v>4022</v>
      </c>
      <c r="C42" s="828" t="s">
        <v>4036</v>
      </c>
      <c r="D42" s="829" t="s">
        <v>4037</v>
      </c>
      <c r="E42" s="830" t="s">
        <v>4794</v>
      </c>
      <c r="F42" s="830" t="s">
        <v>4794</v>
      </c>
      <c r="G42" s="831">
        <v>2</v>
      </c>
      <c r="H42" s="830" t="s">
        <v>4794</v>
      </c>
      <c r="I42" s="830" t="s">
        <v>4794</v>
      </c>
      <c r="J42" s="831">
        <v>2</v>
      </c>
      <c r="K42" s="830" t="s">
        <v>4794</v>
      </c>
      <c r="L42" s="830" t="s">
        <v>4794</v>
      </c>
      <c r="M42" s="831">
        <v>2</v>
      </c>
      <c r="N42" s="830" t="s">
        <v>4794</v>
      </c>
      <c r="O42" s="830" t="s">
        <v>4794</v>
      </c>
      <c r="P42" s="830" t="s">
        <v>4794</v>
      </c>
      <c r="Q42" s="832">
        <f t="shared" si="0"/>
        <v>6</v>
      </c>
      <c r="R42" s="833" t="s">
        <v>4025</v>
      </c>
      <c r="S42" s="834"/>
      <c r="T42" s="835"/>
      <c r="U42" s="835"/>
      <c r="V42" s="835"/>
      <c r="W42" s="835"/>
      <c r="X42" s="835"/>
      <c r="Y42" s="835"/>
      <c r="Z42" s="835"/>
      <c r="AA42" s="835"/>
      <c r="AB42" s="835"/>
      <c r="AC42" s="835"/>
      <c r="AD42" s="835"/>
      <c r="AE42" s="835"/>
      <c r="AF42" s="835"/>
    </row>
    <row r="43" spans="1:33" ht="63">
      <c r="A43" s="827" t="s">
        <v>4038</v>
      </c>
      <c r="B43" s="828" t="s">
        <v>4022</v>
      </c>
      <c r="C43" s="828" t="s">
        <v>4039</v>
      </c>
      <c r="D43" s="829" t="s">
        <v>4040</v>
      </c>
      <c r="E43" s="830" t="s">
        <v>4794</v>
      </c>
      <c r="F43" s="830" t="s">
        <v>4794</v>
      </c>
      <c r="G43" s="830" t="s">
        <v>4794</v>
      </c>
      <c r="H43" s="830" t="s">
        <v>4794</v>
      </c>
      <c r="I43" s="831">
        <v>1</v>
      </c>
      <c r="J43" s="830" t="s">
        <v>4794</v>
      </c>
      <c r="K43" s="830" t="s">
        <v>4794</v>
      </c>
      <c r="L43" s="830" t="s">
        <v>4794</v>
      </c>
      <c r="M43" s="830" t="s">
        <v>4794</v>
      </c>
      <c r="N43" s="830" t="s">
        <v>4794</v>
      </c>
      <c r="O43" s="830" t="s">
        <v>4794</v>
      </c>
      <c r="P43" s="830" t="s">
        <v>4794</v>
      </c>
      <c r="Q43" s="832">
        <f t="shared" si="0"/>
        <v>1</v>
      </c>
      <c r="R43" s="833" t="s">
        <v>4025</v>
      </c>
      <c r="S43" s="834"/>
      <c r="T43" s="835"/>
      <c r="U43" s="835"/>
      <c r="V43" s="835"/>
      <c r="W43" s="835"/>
      <c r="X43" s="835"/>
      <c r="Y43" s="835"/>
      <c r="Z43" s="835"/>
      <c r="AA43" s="835"/>
      <c r="AB43" s="835"/>
      <c r="AC43" s="835"/>
      <c r="AD43" s="835"/>
      <c r="AE43" s="835"/>
      <c r="AF43" s="835"/>
    </row>
    <row r="44" spans="1:33" ht="42">
      <c r="A44" s="827" t="s">
        <v>4041</v>
      </c>
      <c r="B44" s="828" t="s">
        <v>4042</v>
      </c>
      <c r="C44" s="828" t="s">
        <v>4043</v>
      </c>
      <c r="D44" s="829" t="s">
        <v>4044</v>
      </c>
      <c r="E44" s="830" t="s">
        <v>4794</v>
      </c>
      <c r="F44" s="830" t="s">
        <v>4794</v>
      </c>
      <c r="G44" s="830" t="s">
        <v>4794</v>
      </c>
      <c r="H44" s="830" t="s">
        <v>4794</v>
      </c>
      <c r="I44" s="831">
        <v>11</v>
      </c>
      <c r="J44" s="830"/>
      <c r="K44" s="830" t="s">
        <v>4794</v>
      </c>
      <c r="L44" s="830" t="s">
        <v>4794</v>
      </c>
      <c r="M44" s="830" t="s">
        <v>4794</v>
      </c>
      <c r="N44" s="830" t="s">
        <v>4794</v>
      </c>
      <c r="O44" s="830" t="s">
        <v>4794</v>
      </c>
      <c r="P44" s="830" t="s">
        <v>4794</v>
      </c>
      <c r="Q44" s="832">
        <f t="shared" si="0"/>
        <v>11</v>
      </c>
      <c r="R44" s="833" t="s">
        <v>4025</v>
      </c>
      <c r="S44" s="834"/>
      <c r="T44" s="835"/>
      <c r="U44" s="835"/>
      <c r="V44" s="835"/>
      <c r="W44" s="835"/>
      <c r="X44" s="835"/>
      <c r="Y44" s="835"/>
      <c r="Z44" s="835"/>
      <c r="AA44" s="835"/>
      <c r="AB44" s="835"/>
      <c r="AC44" s="835"/>
      <c r="AD44" s="835"/>
      <c r="AE44" s="835"/>
      <c r="AF44" s="835"/>
    </row>
    <row r="45" spans="1:33" ht="31.5">
      <c r="A45" s="827" t="s">
        <v>4045</v>
      </c>
      <c r="B45" s="828" t="s">
        <v>4022</v>
      </c>
      <c r="C45" s="828" t="s">
        <v>4046</v>
      </c>
      <c r="D45" s="829" t="s">
        <v>4047</v>
      </c>
      <c r="E45" s="830" t="s">
        <v>4794</v>
      </c>
      <c r="F45" s="830" t="s">
        <v>4794</v>
      </c>
      <c r="G45" s="831">
        <v>1</v>
      </c>
      <c r="H45" s="830" t="s">
        <v>4794</v>
      </c>
      <c r="I45" s="830" t="s">
        <v>4794</v>
      </c>
      <c r="J45" s="831">
        <v>1</v>
      </c>
      <c r="K45" s="830" t="s">
        <v>4794</v>
      </c>
      <c r="L45" s="830" t="s">
        <v>4794</v>
      </c>
      <c r="M45" s="830" t="s">
        <v>4794</v>
      </c>
      <c r="N45" s="830" t="s">
        <v>4794</v>
      </c>
      <c r="O45" s="830" t="s">
        <v>4794</v>
      </c>
      <c r="P45" s="830" t="s">
        <v>4794</v>
      </c>
      <c r="Q45" s="832">
        <f t="shared" si="0"/>
        <v>2</v>
      </c>
      <c r="R45" s="833" t="s">
        <v>4025</v>
      </c>
      <c r="S45" s="834"/>
      <c r="T45" s="835"/>
      <c r="U45" s="835"/>
      <c r="V45" s="835"/>
      <c r="W45" s="835"/>
      <c r="X45" s="835"/>
      <c r="Y45" s="835"/>
      <c r="Z45" s="835"/>
      <c r="AA45" s="835"/>
      <c r="AB45" s="835"/>
      <c r="AC45" s="835"/>
      <c r="AD45" s="835"/>
      <c r="AE45" s="835"/>
      <c r="AF45" s="835"/>
    </row>
    <row r="46" spans="1:33" ht="31.5">
      <c r="A46" s="827" t="s">
        <v>4048</v>
      </c>
      <c r="B46" s="828" t="s">
        <v>4022</v>
      </c>
      <c r="C46" s="828" t="s">
        <v>4049</v>
      </c>
      <c r="D46" s="829" t="s">
        <v>4050</v>
      </c>
      <c r="E46" s="830" t="s">
        <v>4794</v>
      </c>
      <c r="F46" s="830" t="s">
        <v>4794</v>
      </c>
      <c r="G46" s="830" t="s">
        <v>4794</v>
      </c>
      <c r="H46" s="831">
        <v>1</v>
      </c>
      <c r="I46" s="830" t="s">
        <v>4794</v>
      </c>
      <c r="J46" s="830" t="s">
        <v>4794</v>
      </c>
      <c r="K46" s="831">
        <v>1</v>
      </c>
      <c r="L46" s="830" t="s">
        <v>4794</v>
      </c>
      <c r="M46" s="830" t="s">
        <v>4794</v>
      </c>
      <c r="N46" s="830" t="s">
        <v>4794</v>
      </c>
      <c r="O46" s="830" t="s">
        <v>4794</v>
      </c>
      <c r="P46" s="830" t="s">
        <v>4794</v>
      </c>
      <c r="Q46" s="832">
        <f t="shared" si="0"/>
        <v>2</v>
      </c>
      <c r="R46" s="833" t="s">
        <v>4025</v>
      </c>
      <c r="S46" s="834"/>
      <c r="T46" s="835"/>
      <c r="U46" s="835"/>
      <c r="V46" s="835"/>
      <c r="W46" s="835"/>
      <c r="X46" s="835"/>
      <c r="Y46" s="835"/>
      <c r="Z46" s="835"/>
      <c r="AA46" s="835"/>
      <c r="AB46" s="835"/>
      <c r="AC46" s="835"/>
      <c r="AD46" s="835"/>
      <c r="AE46" s="835"/>
      <c r="AF46" s="835"/>
    </row>
    <row r="47" spans="1:33" ht="31.5">
      <c r="A47" s="827" t="s">
        <v>4051</v>
      </c>
      <c r="B47" s="828" t="s">
        <v>4022</v>
      </c>
      <c r="C47" s="828" t="s">
        <v>4052</v>
      </c>
      <c r="D47" s="829" t="s">
        <v>4053</v>
      </c>
      <c r="E47" s="830" t="s">
        <v>4794</v>
      </c>
      <c r="F47" s="830" t="s">
        <v>4794</v>
      </c>
      <c r="G47" s="830" t="s">
        <v>4794</v>
      </c>
      <c r="H47" s="830" t="s">
        <v>4794</v>
      </c>
      <c r="I47" s="831">
        <v>1</v>
      </c>
      <c r="J47" s="830" t="s">
        <v>4794</v>
      </c>
      <c r="K47" s="830" t="s">
        <v>4794</v>
      </c>
      <c r="L47" s="831">
        <v>1</v>
      </c>
      <c r="M47" s="830" t="s">
        <v>4794</v>
      </c>
      <c r="N47" s="830" t="s">
        <v>4794</v>
      </c>
      <c r="O47" s="830" t="s">
        <v>4794</v>
      </c>
      <c r="P47" s="830" t="s">
        <v>4794</v>
      </c>
      <c r="Q47" s="832">
        <f t="shared" si="0"/>
        <v>2</v>
      </c>
      <c r="R47" s="833" t="s">
        <v>4025</v>
      </c>
      <c r="S47" s="834"/>
      <c r="T47" s="835"/>
      <c r="U47" s="835"/>
      <c r="V47" s="835"/>
      <c r="W47" s="835"/>
      <c r="X47" s="835"/>
      <c r="Y47" s="835"/>
      <c r="Z47" s="835"/>
      <c r="AA47" s="835"/>
      <c r="AB47" s="835"/>
      <c r="AC47" s="835"/>
      <c r="AD47" s="835"/>
      <c r="AE47" s="835"/>
      <c r="AF47" s="835"/>
    </row>
    <row r="48" spans="1:33" ht="52.5">
      <c r="A48" s="827" t="s">
        <v>4054</v>
      </c>
      <c r="B48" s="828" t="s">
        <v>4022</v>
      </c>
      <c r="C48" s="828" t="s">
        <v>4055</v>
      </c>
      <c r="D48" s="829" t="s">
        <v>4056</v>
      </c>
      <c r="E48" s="830" t="s">
        <v>4794</v>
      </c>
      <c r="F48" s="830" t="s">
        <v>4794</v>
      </c>
      <c r="G48" s="830" t="s">
        <v>4794</v>
      </c>
      <c r="H48" s="830"/>
      <c r="I48" s="831">
        <v>1</v>
      </c>
      <c r="J48" s="830" t="s">
        <v>4794</v>
      </c>
      <c r="K48" s="831">
        <v>1</v>
      </c>
      <c r="L48" s="830" t="s">
        <v>4794</v>
      </c>
      <c r="M48" s="830" t="s">
        <v>4794</v>
      </c>
      <c r="N48" s="830" t="s">
        <v>4794</v>
      </c>
      <c r="O48" s="830" t="s">
        <v>4794</v>
      </c>
      <c r="P48" s="830" t="s">
        <v>4794</v>
      </c>
      <c r="Q48" s="832">
        <f t="shared" si="0"/>
        <v>2</v>
      </c>
      <c r="R48" s="833" t="s">
        <v>4025</v>
      </c>
      <c r="S48" s="834"/>
      <c r="T48" s="835"/>
      <c r="U48" s="835"/>
      <c r="V48" s="835"/>
      <c r="W48" s="835"/>
      <c r="X48" s="835"/>
      <c r="Y48" s="835"/>
      <c r="Z48" s="835"/>
      <c r="AA48" s="835"/>
      <c r="AB48" s="835"/>
      <c r="AC48" s="835"/>
      <c r="AD48" s="835"/>
      <c r="AE48" s="835"/>
      <c r="AF48" s="835"/>
    </row>
    <row r="49" spans="1:32" ht="73.5">
      <c r="A49" s="827" t="s">
        <v>4057</v>
      </c>
      <c r="B49" s="828" t="s">
        <v>4022</v>
      </c>
      <c r="C49" s="828" t="s">
        <v>4058</v>
      </c>
      <c r="D49" s="829" t="s">
        <v>4059</v>
      </c>
      <c r="E49" s="830" t="s">
        <v>4794</v>
      </c>
      <c r="F49" s="830" t="s">
        <v>4794</v>
      </c>
      <c r="G49" s="831">
        <v>1</v>
      </c>
      <c r="H49" s="830" t="s">
        <v>4794</v>
      </c>
      <c r="I49" s="831">
        <v>2</v>
      </c>
      <c r="J49" s="831">
        <v>1</v>
      </c>
      <c r="K49" s="830"/>
      <c r="L49" s="831">
        <v>1</v>
      </c>
      <c r="M49" s="830" t="s">
        <v>4794</v>
      </c>
      <c r="N49" s="830" t="s">
        <v>4794</v>
      </c>
      <c r="O49" s="830" t="s">
        <v>4794</v>
      </c>
      <c r="P49" s="830" t="s">
        <v>4794</v>
      </c>
      <c r="Q49" s="832">
        <f t="shared" si="0"/>
        <v>5</v>
      </c>
      <c r="R49" s="833" t="s">
        <v>4025</v>
      </c>
      <c r="S49" s="834"/>
      <c r="T49" s="835"/>
      <c r="U49" s="835"/>
      <c r="V49" s="835"/>
      <c r="W49" s="835"/>
      <c r="X49" s="835"/>
      <c r="Y49" s="835"/>
      <c r="Z49" s="835"/>
      <c r="AA49" s="835"/>
      <c r="AB49" s="835"/>
      <c r="AC49" s="835"/>
      <c r="AD49" s="835"/>
      <c r="AE49" s="835"/>
      <c r="AF49" s="835"/>
    </row>
    <row r="50" spans="1:32" ht="63">
      <c r="A50" s="827" t="s">
        <v>4060</v>
      </c>
      <c r="B50" s="828" t="s">
        <v>4022</v>
      </c>
      <c r="C50" s="828" t="s">
        <v>4061</v>
      </c>
      <c r="D50" s="829" t="s">
        <v>4062</v>
      </c>
      <c r="E50" s="830" t="s">
        <v>4794</v>
      </c>
      <c r="F50" s="830" t="s">
        <v>4794</v>
      </c>
      <c r="G50" s="831">
        <v>1</v>
      </c>
      <c r="H50" s="830" t="s">
        <v>4794</v>
      </c>
      <c r="I50" s="831">
        <v>2</v>
      </c>
      <c r="J50" s="831">
        <v>1</v>
      </c>
      <c r="K50" s="830"/>
      <c r="L50" s="831">
        <v>1</v>
      </c>
      <c r="M50" s="830" t="s">
        <v>4794</v>
      </c>
      <c r="N50" s="830" t="s">
        <v>4794</v>
      </c>
      <c r="O50" s="830" t="s">
        <v>4794</v>
      </c>
      <c r="P50" s="830" t="s">
        <v>4794</v>
      </c>
      <c r="Q50" s="832">
        <f t="shared" si="0"/>
        <v>5</v>
      </c>
      <c r="R50" s="833" t="s">
        <v>4025</v>
      </c>
      <c r="S50" s="834"/>
      <c r="T50" s="835"/>
      <c r="U50" s="835"/>
      <c r="V50" s="835"/>
      <c r="W50" s="835"/>
      <c r="X50" s="835"/>
      <c r="Y50" s="835"/>
      <c r="Z50" s="835"/>
      <c r="AA50" s="835"/>
      <c r="AB50" s="835"/>
      <c r="AC50" s="835"/>
      <c r="AD50" s="835"/>
      <c r="AE50" s="835"/>
      <c r="AF50" s="835"/>
    </row>
    <row r="51" spans="1:32" ht="63">
      <c r="A51" s="827" t="s">
        <v>4063</v>
      </c>
      <c r="B51" s="828" t="s">
        <v>4022</v>
      </c>
      <c r="C51" s="828" t="s">
        <v>4064</v>
      </c>
      <c r="D51" s="829" t="s">
        <v>4065</v>
      </c>
      <c r="E51" s="830"/>
      <c r="F51" s="831">
        <v>2</v>
      </c>
      <c r="G51" s="831">
        <v>2</v>
      </c>
      <c r="H51" s="830" t="s">
        <v>4794</v>
      </c>
      <c r="I51" s="830"/>
      <c r="J51" s="830" t="s">
        <v>4794</v>
      </c>
      <c r="K51" s="830" t="s">
        <v>4794</v>
      </c>
      <c r="L51" s="830" t="s">
        <v>4794</v>
      </c>
      <c r="M51" s="830"/>
      <c r="N51" s="830"/>
      <c r="O51" s="831">
        <v>2</v>
      </c>
      <c r="P51" s="831">
        <v>2</v>
      </c>
      <c r="Q51" s="832">
        <f t="shared" si="0"/>
        <v>8</v>
      </c>
      <c r="R51" s="833" t="s">
        <v>4025</v>
      </c>
      <c r="S51" s="834"/>
      <c r="T51" s="835"/>
      <c r="U51" s="835"/>
      <c r="V51" s="835"/>
      <c r="W51" s="835"/>
      <c r="X51" s="835"/>
      <c r="Y51" s="835"/>
      <c r="Z51" s="835"/>
      <c r="AA51" s="835"/>
      <c r="AB51" s="835"/>
      <c r="AC51" s="835"/>
      <c r="AD51" s="835"/>
      <c r="AE51" s="835"/>
      <c r="AF51" s="835"/>
    </row>
    <row r="52" spans="1:32" ht="63">
      <c r="A52" s="827" t="s">
        <v>4066</v>
      </c>
      <c r="B52" s="828" t="s">
        <v>4022</v>
      </c>
      <c r="C52" s="828" t="s">
        <v>4067</v>
      </c>
      <c r="D52" s="829" t="s">
        <v>4068</v>
      </c>
      <c r="E52" s="830" t="s">
        <v>4794</v>
      </c>
      <c r="F52" s="830" t="s">
        <v>4794</v>
      </c>
      <c r="G52" s="830" t="s">
        <v>4794</v>
      </c>
      <c r="H52" s="831">
        <v>2</v>
      </c>
      <c r="I52" s="830" t="s">
        <v>4794</v>
      </c>
      <c r="J52" s="831">
        <v>2</v>
      </c>
      <c r="K52" s="830" t="s">
        <v>4794</v>
      </c>
      <c r="L52" s="831">
        <v>2</v>
      </c>
      <c r="M52" s="830" t="s">
        <v>4794</v>
      </c>
      <c r="N52" s="830" t="s">
        <v>4794</v>
      </c>
      <c r="O52" s="830" t="s">
        <v>4794</v>
      </c>
      <c r="P52" s="830" t="s">
        <v>4794</v>
      </c>
      <c r="Q52" s="832">
        <f t="shared" si="0"/>
        <v>6</v>
      </c>
      <c r="R52" s="833" t="s">
        <v>4025</v>
      </c>
      <c r="S52" s="834"/>
      <c r="T52" s="850"/>
      <c r="U52" s="850"/>
      <c r="V52" s="850"/>
      <c r="W52" s="850"/>
      <c r="X52" s="850"/>
      <c r="Y52" s="850"/>
      <c r="Z52" s="850"/>
      <c r="AA52" s="850"/>
      <c r="AB52" s="850"/>
      <c r="AC52" s="850"/>
      <c r="AD52" s="850"/>
      <c r="AE52" s="850"/>
      <c r="AF52" s="835"/>
    </row>
    <row r="53" spans="1:32" ht="63">
      <c r="A53" s="827" t="s">
        <v>4069</v>
      </c>
      <c r="B53" s="828" t="s">
        <v>4022</v>
      </c>
      <c r="C53" s="828" t="s">
        <v>4070</v>
      </c>
      <c r="D53" s="829" t="s">
        <v>4071</v>
      </c>
      <c r="E53" s="830" t="s">
        <v>4794</v>
      </c>
      <c r="F53" s="830" t="s">
        <v>4794</v>
      </c>
      <c r="G53" s="830" t="s">
        <v>4794</v>
      </c>
      <c r="H53" s="831">
        <v>2</v>
      </c>
      <c r="I53" s="830"/>
      <c r="J53" s="830"/>
      <c r="K53" s="830" t="s">
        <v>4794</v>
      </c>
      <c r="L53" s="831">
        <v>1</v>
      </c>
      <c r="M53" s="831">
        <v>1</v>
      </c>
      <c r="N53" s="830" t="s">
        <v>4794</v>
      </c>
      <c r="O53" s="830" t="s">
        <v>4794</v>
      </c>
      <c r="P53" s="830" t="s">
        <v>4794</v>
      </c>
      <c r="Q53" s="832">
        <f t="shared" si="0"/>
        <v>4</v>
      </c>
      <c r="R53" s="833" t="s">
        <v>4025</v>
      </c>
      <c r="S53" s="834"/>
      <c r="T53" s="850"/>
      <c r="U53" s="850"/>
      <c r="V53" s="850"/>
      <c r="W53" s="850"/>
      <c r="X53" s="850"/>
      <c r="Y53" s="850"/>
      <c r="Z53" s="850"/>
      <c r="AA53" s="850"/>
      <c r="AB53" s="850"/>
      <c r="AC53" s="850"/>
      <c r="AD53" s="850"/>
      <c r="AE53" s="850"/>
      <c r="AF53" s="835"/>
    </row>
    <row r="54" spans="1:32" ht="63">
      <c r="A54" s="827" t="s">
        <v>4072</v>
      </c>
      <c r="B54" s="828" t="s">
        <v>4022</v>
      </c>
      <c r="C54" s="828" t="s">
        <v>4073</v>
      </c>
      <c r="D54" s="829" t="s">
        <v>4074</v>
      </c>
      <c r="E54" s="830" t="s">
        <v>4794</v>
      </c>
      <c r="F54" s="830" t="s">
        <v>4794</v>
      </c>
      <c r="G54" s="830" t="s">
        <v>4794</v>
      </c>
      <c r="H54" s="830"/>
      <c r="I54" s="831">
        <v>1</v>
      </c>
      <c r="J54" s="831">
        <v>1</v>
      </c>
      <c r="K54" s="830" t="s">
        <v>4794</v>
      </c>
      <c r="L54" s="831">
        <v>1</v>
      </c>
      <c r="M54" s="830" t="s">
        <v>4794</v>
      </c>
      <c r="N54" s="830" t="s">
        <v>4794</v>
      </c>
      <c r="O54" s="831">
        <v>1</v>
      </c>
      <c r="P54" s="830" t="s">
        <v>4794</v>
      </c>
      <c r="Q54" s="832">
        <f t="shared" si="0"/>
        <v>4</v>
      </c>
      <c r="R54" s="833" t="s">
        <v>4025</v>
      </c>
      <c r="S54" s="834"/>
      <c r="T54" s="850"/>
      <c r="U54" s="850"/>
      <c r="V54" s="850"/>
      <c r="W54" s="850"/>
      <c r="X54" s="850"/>
      <c r="Y54" s="850"/>
      <c r="Z54" s="850"/>
      <c r="AA54" s="850"/>
      <c r="AB54" s="850"/>
      <c r="AC54" s="850"/>
      <c r="AD54" s="850"/>
      <c r="AE54" s="850"/>
      <c r="AF54" s="835"/>
    </row>
    <row r="55" spans="1:32" ht="63">
      <c r="A55" s="827" t="s">
        <v>4075</v>
      </c>
      <c r="B55" s="828" t="s">
        <v>4022</v>
      </c>
      <c r="C55" s="828" t="s">
        <v>4076</v>
      </c>
      <c r="D55" s="829" t="s">
        <v>4077</v>
      </c>
      <c r="E55" s="830" t="s">
        <v>4794</v>
      </c>
      <c r="F55" s="830" t="s">
        <v>4794</v>
      </c>
      <c r="G55" s="830" t="s">
        <v>4794</v>
      </c>
      <c r="H55" s="830"/>
      <c r="I55" s="830" t="s">
        <v>4794</v>
      </c>
      <c r="J55" s="831">
        <v>1</v>
      </c>
      <c r="K55" s="831">
        <v>1</v>
      </c>
      <c r="L55" s="830" t="s">
        <v>4794</v>
      </c>
      <c r="M55" s="831">
        <v>1</v>
      </c>
      <c r="N55" s="830" t="s">
        <v>4794</v>
      </c>
      <c r="O55" s="830" t="s">
        <v>4794</v>
      </c>
      <c r="P55" s="830" t="s">
        <v>4794</v>
      </c>
      <c r="Q55" s="832">
        <f t="shared" si="0"/>
        <v>3</v>
      </c>
      <c r="R55" s="833" t="s">
        <v>4025</v>
      </c>
      <c r="S55" s="836"/>
      <c r="T55" s="851"/>
      <c r="U55" s="851"/>
      <c r="V55" s="851"/>
      <c r="W55" s="851"/>
      <c r="X55" s="851"/>
      <c r="Y55" s="851"/>
      <c r="Z55" s="851"/>
      <c r="AA55" s="851"/>
      <c r="AB55" s="851"/>
      <c r="AC55" s="851"/>
      <c r="AD55" s="851"/>
      <c r="AE55" s="851"/>
      <c r="AF55" s="835"/>
    </row>
    <row r="56" spans="1:32" ht="63">
      <c r="A56" s="827" t="s">
        <v>4078</v>
      </c>
      <c r="B56" s="828" t="s">
        <v>4022</v>
      </c>
      <c r="C56" s="828" t="s">
        <v>4079</v>
      </c>
      <c r="D56" s="829" t="s">
        <v>4080</v>
      </c>
      <c r="E56" s="830" t="s">
        <v>4794</v>
      </c>
      <c r="F56" s="830" t="s">
        <v>4794</v>
      </c>
      <c r="G56" s="830"/>
      <c r="H56" s="830" t="s">
        <v>4794</v>
      </c>
      <c r="I56" s="830" t="s">
        <v>4794</v>
      </c>
      <c r="J56" s="831">
        <v>1</v>
      </c>
      <c r="K56" s="831">
        <v>2</v>
      </c>
      <c r="L56" s="830" t="s">
        <v>4794</v>
      </c>
      <c r="M56" s="830" t="s">
        <v>4794</v>
      </c>
      <c r="N56" s="830" t="s">
        <v>4794</v>
      </c>
      <c r="O56" s="830" t="s">
        <v>4794</v>
      </c>
      <c r="P56" s="831">
        <v>1</v>
      </c>
      <c r="Q56" s="832">
        <f t="shared" si="0"/>
        <v>4</v>
      </c>
      <c r="R56" s="833" t="s">
        <v>4025</v>
      </c>
      <c r="S56" s="836"/>
      <c r="T56" s="851"/>
      <c r="U56" s="851"/>
      <c r="V56" s="851"/>
      <c r="W56" s="851"/>
      <c r="X56" s="851"/>
      <c r="Y56" s="851"/>
      <c r="Z56" s="851"/>
      <c r="AA56" s="851"/>
      <c r="AB56" s="851"/>
      <c r="AC56" s="851"/>
      <c r="AD56" s="851"/>
      <c r="AE56" s="851"/>
      <c r="AF56" s="835"/>
    </row>
    <row r="57" spans="1:32" ht="52.5">
      <c r="A57" s="827" t="s">
        <v>4081</v>
      </c>
      <c r="B57" s="828" t="s">
        <v>4022</v>
      </c>
      <c r="C57" s="828" t="s">
        <v>4082</v>
      </c>
      <c r="D57" s="829" t="s">
        <v>4083</v>
      </c>
      <c r="E57" s="830" t="s">
        <v>4794</v>
      </c>
      <c r="F57" s="830" t="s">
        <v>4794</v>
      </c>
      <c r="G57" s="830"/>
      <c r="H57" s="830" t="s">
        <v>4794</v>
      </c>
      <c r="I57" s="831">
        <v>5</v>
      </c>
      <c r="J57" s="830" t="s">
        <v>4794</v>
      </c>
      <c r="K57" s="830" t="s">
        <v>4794</v>
      </c>
      <c r="L57" s="830" t="s">
        <v>4794</v>
      </c>
      <c r="M57" s="831">
        <v>1</v>
      </c>
      <c r="N57" s="830" t="s">
        <v>4794</v>
      </c>
      <c r="O57" s="831">
        <v>1</v>
      </c>
      <c r="P57" s="830" t="s">
        <v>4794</v>
      </c>
      <c r="Q57" s="832">
        <f t="shared" si="0"/>
        <v>7</v>
      </c>
      <c r="R57" s="833" t="s">
        <v>4025</v>
      </c>
      <c r="S57" s="836"/>
      <c r="T57" s="851"/>
      <c r="U57" s="851"/>
      <c r="V57" s="851"/>
      <c r="W57" s="851"/>
      <c r="X57" s="851"/>
      <c r="Y57" s="851"/>
      <c r="Z57" s="851"/>
      <c r="AA57" s="851"/>
      <c r="AB57" s="851"/>
      <c r="AC57" s="851"/>
      <c r="AD57" s="851"/>
      <c r="AE57" s="851"/>
      <c r="AF57" s="835"/>
    </row>
    <row r="58" spans="1:32" ht="52.5">
      <c r="A58" s="827" t="s">
        <v>4084</v>
      </c>
      <c r="B58" s="828" t="s">
        <v>4022</v>
      </c>
      <c r="C58" s="828" t="s">
        <v>4085</v>
      </c>
      <c r="D58" s="829" t="s">
        <v>4086</v>
      </c>
      <c r="E58" s="830" t="s">
        <v>4794</v>
      </c>
      <c r="F58" s="830" t="s">
        <v>4794</v>
      </c>
      <c r="G58" s="830" t="s">
        <v>4794</v>
      </c>
      <c r="H58" s="830" t="s">
        <v>4794</v>
      </c>
      <c r="I58" s="831">
        <v>5</v>
      </c>
      <c r="J58" s="830" t="s">
        <v>4794</v>
      </c>
      <c r="K58" s="831">
        <v>1</v>
      </c>
      <c r="L58" s="830" t="s">
        <v>4794</v>
      </c>
      <c r="M58" s="830"/>
      <c r="N58" s="830" t="s">
        <v>4794</v>
      </c>
      <c r="O58" s="830" t="s">
        <v>4794</v>
      </c>
      <c r="P58" s="831">
        <v>1</v>
      </c>
      <c r="Q58" s="832">
        <f t="shared" si="0"/>
        <v>7</v>
      </c>
      <c r="R58" s="833" t="s">
        <v>4025</v>
      </c>
      <c r="S58" s="834"/>
      <c r="T58" s="835"/>
      <c r="U58" s="835"/>
      <c r="V58" s="835"/>
      <c r="W58" s="835"/>
      <c r="X58" s="835"/>
      <c r="Y58" s="835"/>
      <c r="Z58" s="835"/>
      <c r="AA58" s="835"/>
      <c r="AB58" s="835"/>
      <c r="AC58" s="835"/>
      <c r="AD58" s="835"/>
      <c r="AE58" s="835"/>
      <c r="AF58" s="835"/>
    </row>
    <row r="59" spans="1:32" ht="73.5">
      <c r="A59" s="827" t="s">
        <v>4087</v>
      </c>
      <c r="B59" s="828" t="s">
        <v>4022</v>
      </c>
      <c r="C59" s="828" t="s">
        <v>4088</v>
      </c>
      <c r="D59" s="829" t="s">
        <v>4089</v>
      </c>
      <c r="E59" s="830" t="s">
        <v>4794</v>
      </c>
      <c r="F59" s="830" t="s">
        <v>4794</v>
      </c>
      <c r="G59" s="831">
        <v>1</v>
      </c>
      <c r="H59" s="830" t="s">
        <v>4794</v>
      </c>
      <c r="I59" s="831">
        <v>1</v>
      </c>
      <c r="J59" s="831">
        <v>2</v>
      </c>
      <c r="K59" s="831">
        <v>1</v>
      </c>
      <c r="L59" s="830"/>
      <c r="M59" s="830" t="s">
        <v>4794</v>
      </c>
      <c r="N59" s="830" t="s">
        <v>4794</v>
      </c>
      <c r="O59" s="830" t="s">
        <v>4794</v>
      </c>
      <c r="P59" s="830" t="s">
        <v>4794</v>
      </c>
      <c r="Q59" s="832">
        <f t="shared" si="0"/>
        <v>5</v>
      </c>
      <c r="R59" s="833" t="s">
        <v>4025</v>
      </c>
      <c r="S59" s="834"/>
      <c r="T59" s="835"/>
      <c r="U59" s="835"/>
      <c r="V59" s="835"/>
      <c r="W59" s="835"/>
      <c r="X59" s="835"/>
      <c r="Y59" s="835"/>
      <c r="Z59" s="835"/>
      <c r="AA59" s="835"/>
      <c r="AB59" s="835"/>
      <c r="AC59" s="835"/>
      <c r="AD59" s="835"/>
      <c r="AE59" s="835"/>
      <c r="AF59" s="835"/>
    </row>
    <row r="60" spans="1:32" ht="52.5">
      <c r="A60" s="827" t="s">
        <v>4090</v>
      </c>
      <c r="B60" s="828" t="s">
        <v>4022</v>
      </c>
      <c r="C60" s="828" t="s">
        <v>4091</v>
      </c>
      <c r="D60" s="829" t="s">
        <v>4092</v>
      </c>
      <c r="E60" s="830" t="s">
        <v>4794</v>
      </c>
      <c r="F60" s="830" t="s">
        <v>4794</v>
      </c>
      <c r="G60" s="830" t="s">
        <v>4794</v>
      </c>
      <c r="H60" s="831">
        <v>1</v>
      </c>
      <c r="I60" s="830" t="s">
        <v>4794</v>
      </c>
      <c r="J60" s="831">
        <v>1</v>
      </c>
      <c r="K60" s="830" t="s">
        <v>4794</v>
      </c>
      <c r="L60" s="830" t="s">
        <v>4794</v>
      </c>
      <c r="M60" s="830"/>
      <c r="N60" s="830" t="s">
        <v>4794</v>
      </c>
      <c r="O60" s="830" t="s">
        <v>4794</v>
      </c>
      <c r="P60" s="830" t="s">
        <v>4794</v>
      </c>
      <c r="Q60" s="832">
        <f t="shared" si="0"/>
        <v>2</v>
      </c>
      <c r="R60" s="833" t="s">
        <v>4025</v>
      </c>
      <c r="S60" s="834"/>
      <c r="T60" s="835"/>
      <c r="U60" s="835"/>
      <c r="V60" s="835"/>
      <c r="W60" s="835"/>
      <c r="X60" s="835"/>
      <c r="Y60" s="835"/>
      <c r="Z60" s="835"/>
      <c r="AA60" s="835"/>
      <c r="AB60" s="835"/>
      <c r="AC60" s="835"/>
      <c r="AD60" s="835"/>
      <c r="AE60" s="835"/>
      <c r="AF60" s="835"/>
    </row>
    <row r="61" spans="1:32">
      <c r="A61" s="827" t="s">
        <v>4093</v>
      </c>
      <c r="B61" s="828" t="s">
        <v>4022</v>
      </c>
      <c r="C61" s="828" t="s">
        <v>4094</v>
      </c>
      <c r="D61" s="829" t="s">
        <v>4095</v>
      </c>
      <c r="E61" s="830" t="s">
        <v>4794</v>
      </c>
      <c r="F61" s="830" t="s">
        <v>4794</v>
      </c>
      <c r="G61" s="830" t="s">
        <v>4794</v>
      </c>
      <c r="H61" s="830" t="s">
        <v>4794</v>
      </c>
      <c r="I61" s="830" t="s">
        <v>4794</v>
      </c>
      <c r="J61" s="831">
        <v>10</v>
      </c>
      <c r="K61" s="830" t="s">
        <v>4794</v>
      </c>
      <c r="L61" s="831">
        <v>5</v>
      </c>
      <c r="M61" s="830" t="s">
        <v>4794</v>
      </c>
      <c r="N61" s="830" t="s">
        <v>4794</v>
      </c>
      <c r="O61" s="830" t="s">
        <v>4794</v>
      </c>
      <c r="P61" s="830" t="s">
        <v>4794</v>
      </c>
      <c r="Q61" s="832">
        <f t="shared" si="0"/>
        <v>15</v>
      </c>
      <c r="R61" s="833" t="s">
        <v>3714</v>
      </c>
      <c r="S61" s="834"/>
      <c r="T61" s="835"/>
      <c r="U61" s="835"/>
      <c r="V61" s="835"/>
      <c r="W61" s="835"/>
      <c r="X61" s="835"/>
      <c r="Y61" s="835"/>
      <c r="Z61" s="835"/>
      <c r="AA61" s="835"/>
      <c r="AB61" s="835"/>
      <c r="AC61" s="835"/>
      <c r="AD61" s="835"/>
      <c r="AE61" s="835"/>
      <c r="AF61" s="835"/>
    </row>
    <row r="62" spans="1:32">
      <c r="A62" s="827" t="s">
        <v>4096</v>
      </c>
      <c r="B62" s="828" t="s">
        <v>4022</v>
      </c>
      <c r="C62" s="828" t="s">
        <v>4097</v>
      </c>
      <c r="D62" s="829" t="s">
        <v>4098</v>
      </c>
      <c r="E62" s="830" t="s">
        <v>4794</v>
      </c>
      <c r="F62" s="830"/>
      <c r="G62" s="830" t="s">
        <v>4794</v>
      </c>
      <c r="H62" s="830" t="s">
        <v>4794</v>
      </c>
      <c r="I62" s="831">
        <v>5</v>
      </c>
      <c r="J62" s="831">
        <v>5</v>
      </c>
      <c r="K62" s="830" t="s">
        <v>4794</v>
      </c>
      <c r="L62" s="830" t="s">
        <v>4794</v>
      </c>
      <c r="M62" s="830" t="s">
        <v>4794</v>
      </c>
      <c r="N62" s="830" t="s">
        <v>4794</v>
      </c>
      <c r="O62" s="830" t="s">
        <v>4794</v>
      </c>
      <c r="P62" s="830" t="s">
        <v>4794</v>
      </c>
      <c r="Q62" s="832">
        <f t="shared" si="0"/>
        <v>10</v>
      </c>
      <c r="R62" s="833" t="s">
        <v>3714</v>
      </c>
      <c r="S62" s="834"/>
      <c r="T62" s="835"/>
      <c r="U62" s="835"/>
      <c r="V62" s="835"/>
      <c r="W62" s="835"/>
      <c r="X62" s="835"/>
      <c r="Y62" s="835"/>
      <c r="Z62" s="835"/>
      <c r="AA62" s="835"/>
      <c r="AB62" s="835"/>
      <c r="AC62" s="835"/>
      <c r="AD62" s="835"/>
      <c r="AE62" s="835"/>
      <c r="AF62" s="835"/>
    </row>
    <row r="63" spans="1:32">
      <c r="A63" s="827" t="s">
        <v>4099</v>
      </c>
      <c r="B63" s="828" t="s">
        <v>4022</v>
      </c>
      <c r="C63" s="828" t="s">
        <v>4100</v>
      </c>
      <c r="D63" s="829" t="s">
        <v>4101</v>
      </c>
      <c r="E63" s="830" t="s">
        <v>4794</v>
      </c>
      <c r="F63" s="830" t="s">
        <v>4794</v>
      </c>
      <c r="G63" s="830" t="s">
        <v>4794</v>
      </c>
      <c r="H63" s="830" t="s">
        <v>4794</v>
      </c>
      <c r="I63" s="831">
        <v>5</v>
      </c>
      <c r="J63" s="831">
        <v>5</v>
      </c>
      <c r="K63" s="830" t="s">
        <v>4794</v>
      </c>
      <c r="L63" s="830" t="s">
        <v>4794</v>
      </c>
      <c r="M63" s="830" t="s">
        <v>4794</v>
      </c>
      <c r="N63" s="830" t="s">
        <v>4794</v>
      </c>
      <c r="O63" s="830" t="s">
        <v>4794</v>
      </c>
      <c r="P63" s="830" t="s">
        <v>4794</v>
      </c>
      <c r="Q63" s="832">
        <f t="shared" si="0"/>
        <v>10</v>
      </c>
      <c r="R63" s="833" t="s">
        <v>3714</v>
      </c>
      <c r="S63" s="834"/>
      <c r="T63" s="835"/>
      <c r="U63" s="835"/>
      <c r="V63" s="835"/>
      <c r="W63" s="835"/>
      <c r="X63" s="835"/>
      <c r="Y63" s="835"/>
      <c r="Z63" s="835"/>
      <c r="AA63" s="835"/>
      <c r="AB63" s="835"/>
      <c r="AC63" s="835"/>
      <c r="AD63" s="835"/>
      <c r="AE63" s="835"/>
      <c r="AF63" s="835"/>
    </row>
    <row r="64" spans="1:32" ht="63">
      <c r="A64" s="827" t="s">
        <v>4102</v>
      </c>
      <c r="B64" s="828" t="s">
        <v>4022</v>
      </c>
      <c r="C64" s="828" t="s">
        <v>4103</v>
      </c>
      <c r="D64" s="829" t="s">
        <v>4104</v>
      </c>
      <c r="E64" s="830" t="s">
        <v>4794</v>
      </c>
      <c r="F64" s="830" t="s">
        <v>4794</v>
      </c>
      <c r="G64" s="830" t="s">
        <v>4794</v>
      </c>
      <c r="H64" s="831">
        <v>10</v>
      </c>
      <c r="I64" s="830" t="s">
        <v>4794</v>
      </c>
      <c r="J64" s="831">
        <v>10</v>
      </c>
      <c r="K64" s="830" t="s">
        <v>4794</v>
      </c>
      <c r="L64" s="830" t="s">
        <v>4794</v>
      </c>
      <c r="M64" s="830" t="s">
        <v>4794</v>
      </c>
      <c r="N64" s="830" t="s">
        <v>4794</v>
      </c>
      <c r="O64" s="830" t="s">
        <v>4794</v>
      </c>
      <c r="P64" s="830" t="s">
        <v>4794</v>
      </c>
      <c r="Q64" s="832">
        <f t="shared" si="0"/>
        <v>20</v>
      </c>
      <c r="R64" s="833" t="s">
        <v>4025</v>
      </c>
      <c r="S64" s="834"/>
      <c r="T64" s="835"/>
      <c r="U64" s="835"/>
      <c r="V64" s="835"/>
      <c r="W64" s="835"/>
      <c r="X64" s="835"/>
      <c r="Y64" s="835"/>
      <c r="Z64" s="835"/>
      <c r="AA64" s="835"/>
      <c r="AB64" s="835"/>
      <c r="AC64" s="835"/>
      <c r="AD64" s="835"/>
      <c r="AE64" s="835"/>
      <c r="AF64" s="835"/>
    </row>
    <row r="65" spans="1:32" ht="63">
      <c r="A65" s="827" t="s">
        <v>4105</v>
      </c>
      <c r="B65" s="828" t="s">
        <v>4022</v>
      </c>
      <c r="C65" s="828" t="s">
        <v>4106</v>
      </c>
      <c r="D65" s="829" t="s">
        <v>4107</v>
      </c>
      <c r="E65" s="830" t="s">
        <v>4794</v>
      </c>
      <c r="F65" s="830" t="s">
        <v>4794</v>
      </c>
      <c r="G65" s="830" t="s">
        <v>4794</v>
      </c>
      <c r="H65" s="831">
        <v>10</v>
      </c>
      <c r="I65" s="830" t="s">
        <v>4794</v>
      </c>
      <c r="J65" s="831">
        <v>10</v>
      </c>
      <c r="K65" s="830" t="s">
        <v>4794</v>
      </c>
      <c r="L65" s="830" t="s">
        <v>4794</v>
      </c>
      <c r="M65" s="830" t="s">
        <v>4794</v>
      </c>
      <c r="N65" s="830" t="s">
        <v>4794</v>
      </c>
      <c r="O65" s="830" t="s">
        <v>4794</v>
      </c>
      <c r="P65" s="830" t="s">
        <v>4794</v>
      </c>
      <c r="Q65" s="832">
        <f t="shared" si="0"/>
        <v>20</v>
      </c>
      <c r="R65" s="833" t="s">
        <v>4025</v>
      </c>
      <c r="S65" s="834"/>
      <c r="T65" s="835"/>
      <c r="U65" s="835"/>
      <c r="V65" s="835"/>
      <c r="W65" s="835"/>
      <c r="X65" s="835"/>
      <c r="Y65" s="835"/>
      <c r="Z65" s="835"/>
      <c r="AA65" s="835"/>
      <c r="AB65" s="835"/>
      <c r="AC65" s="835"/>
      <c r="AD65" s="835"/>
      <c r="AE65" s="835"/>
      <c r="AF65" s="835"/>
    </row>
    <row r="66" spans="1:32" ht="63">
      <c r="A66" s="827" t="s">
        <v>4108</v>
      </c>
      <c r="B66" s="828" t="s">
        <v>4022</v>
      </c>
      <c r="C66" s="828" t="s">
        <v>4109</v>
      </c>
      <c r="D66" s="829" t="s">
        <v>4110</v>
      </c>
      <c r="E66" s="830" t="s">
        <v>4794</v>
      </c>
      <c r="F66" s="830" t="s">
        <v>4794</v>
      </c>
      <c r="G66" s="830" t="s">
        <v>4794</v>
      </c>
      <c r="H66" s="831">
        <v>10</v>
      </c>
      <c r="I66" s="830" t="s">
        <v>4794</v>
      </c>
      <c r="J66" s="831">
        <v>10</v>
      </c>
      <c r="K66" s="830" t="s">
        <v>4794</v>
      </c>
      <c r="L66" s="830" t="s">
        <v>4794</v>
      </c>
      <c r="M66" s="830" t="s">
        <v>4794</v>
      </c>
      <c r="N66" s="830" t="s">
        <v>4794</v>
      </c>
      <c r="O66" s="830" t="s">
        <v>4794</v>
      </c>
      <c r="P66" s="830" t="s">
        <v>4794</v>
      </c>
      <c r="Q66" s="832">
        <f t="shared" si="0"/>
        <v>20</v>
      </c>
      <c r="R66" s="833" t="s">
        <v>4025</v>
      </c>
      <c r="S66" s="834"/>
      <c r="T66" s="835"/>
      <c r="U66" s="835"/>
      <c r="V66" s="835"/>
      <c r="W66" s="835"/>
      <c r="X66" s="835"/>
      <c r="Y66" s="835"/>
      <c r="Z66" s="835"/>
      <c r="AA66" s="835"/>
      <c r="AB66" s="835"/>
      <c r="AC66" s="835"/>
      <c r="AD66" s="835"/>
      <c r="AE66" s="835"/>
      <c r="AF66" s="835"/>
    </row>
    <row r="67" spans="1:32" ht="21">
      <c r="A67" s="827" t="s">
        <v>4111</v>
      </c>
      <c r="B67" s="828" t="s">
        <v>4022</v>
      </c>
      <c r="C67" s="828" t="s">
        <v>4112</v>
      </c>
      <c r="D67" s="829" t="s">
        <v>4113</v>
      </c>
      <c r="E67" s="830" t="s">
        <v>4794</v>
      </c>
      <c r="F67" s="830" t="s">
        <v>4794</v>
      </c>
      <c r="G67" s="830" t="s">
        <v>4794</v>
      </c>
      <c r="H67" s="830" t="s">
        <v>4794</v>
      </c>
      <c r="I67" s="831">
        <v>10</v>
      </c>
      <c r="J67" s="830" t="s">
        <v>4794</v>
      </c>
      <c r="K67" s="830" t="s">
        <v>4794</v>
      </c>
      <c r="L67" s="830" t="s">
        <v>4794</v>
      </c>
      <c r="M67" s="831">
        <v>10</v>
      </c>
      <c r="N67" s="830" t="s">
        <v>4794</v>
      </c>
      <c r="O67" s="830" t="s">
        <v>4794</v>
      </c>
      <c r="P67" s="830" t="s">
        <v>4794</v>
      </c>
      <c r="Q67" s="832">
        <f t="shared" si="0"/>
        <v>20</v>
      </c>
      <c r="R67" s="833" t="s">
        <v>4025</v>
      </c>
      <c r="S67" s="834"/>
      <c r="T67" s="835"/>
      <c r="U67" s="835"/>
      <c r="V67" s="835"/>
      <c r="W67" s="835"/>
      <c r="X67" s="835"/>
      <c r="Y67" s="835"/>
      <c r="Z67" s="835"/>
      <c r="AA67" s="835"/>
      <c r="AB67" s="835"/>
      <c r="AC67" s="835"/>
      <c r="AD67" s="835"/>
      <c r="AE67" s="835"/>
      <c r="AF67" s="835"/>
    </row>
    <row r="68" spans="1:32" ht="31.5">
      <c r="A68" s="827" t="s">
        <v>4114</v>
      </c>
      <c r="B68" s="828" t="s">
        <v>4022</v>
      </c>
      <c r="C68" s="828" t="s">
        <v>4115</v>
      </c>
      <c r="D68" s="829" t="s">
        <v>4116</v>
      </c>
      <c r="E68" s="830" t="s">
        <v>4794</v>
      </c>
      <c r="F68" s="830" t="s">
        <v>4794</v>
      </c>
      <c r="G68" s="830"/>
      <c r="H68" s="830" t="s">
        <v>4794</v>
      </c>
      <c r="I68" s="830" t="s">
        <v>4794</v>
      </c>
      <c r="J68" s="831">
        <v>7</v>
      </c>
      <c r="K68" s="830" t="s">
        <v>4794</v>
      </c>
      <c r="L68" s="830" t="s">
        <v>4794</v>
      </c>
      <c r="M68" s="830" t="s">
        <v>4794</v>
      </c>
      <c r="N68" s="830" t="s">
        <v>4794</v>
      </c>
      <c r="O68" s="830" t="s">
        <v>4794</v>
      </c>
      <c r="P68" s="830" t="s">
        <v>4794</v>
      </c>
      <c r="Q68" s="832">
        <f t="shared" si="0"/>
        <v>7</v>
      </c>
      <c r="R68" s="833" t="s">
        <v>4025</v>
      </c>
      <c r="S68" s="834"/>
      <c r="T68" s="835"/>
      <c r="U68" s="835"/>
      <c r="V68" s="835"/>
      <c r="W68" s="835"/>
      <c r="X68" s="835"/>
      <c r="Y68" s="835"/>
      <c r="Z68" s="835"/>
      <c r="AA68" s="835"/>
      <c r="AB68" s="835"/>
      <c r="AC68" s="835"/>
      <c r="AD68" s="835"/>
      <c r="AE68" s="835"/>
      <c r="AF68" s="835"/>
    </row>
    <row r="69" spans="1:32" ht="31.5">
      <c r="A69" s="827" t="s">
        <v>4117</v>
      </c>
      <c r="B69" s="828" t="s">
        <v>4022</v>
      </c>
      <c r="C69" s="828" t="s">
        <v>4118</v>
      </c>
      <c r="D69" s="829" t="s">
        <v>4119</v>
      </c>
      <c r="E69" s="830" t="s">
        <v>4794</v>
      </c>
      <c r="F69" s="830" t="s">
        <v>4794</v>
      </c>
      <c r="G69" s="830" t="s">
        <v>4794</v>
      </c>
      <c r="H69" s="830"/>
      <c r="I69" s="830" t="s">
        <v>4794</v>
      </c>
      <c r="J69" s="831">
        <v>10</v>
      </c>
      <c r="K69" s="830" t="s">
        <v>4794</v>
      </c>
      <c r="L69" s="831">
        <v>10</v>
      </c>
      <c r="M69" s="830" t="s">
        <v>4794</v>
      </c>
      <c r="N69" s="830" t="s">
        <v>4794</v>
      </c>
      <c r="O69" s="830" t="s">
        <v>4794</v>
      </c>
      <c r="P69" s="830" t="s">
        <v>4794</v>
      </c>
      <c r="Q69" s="832">
        <f t="shared" si="0"/>
        <v>20</v>
      </c>
      <c r="R69" s="833" t="s">
        <v>4025</v>
      </c>
      <c r="S69" s="834"/>
      <c r="T69" s="835"/>
      <c r="U69" s="835"/>
      <c r="V69" s="835"/>
      <c r="W69" s="835"/>
      <c r="X69" s="835"/>
      <c r="Y69" s="835"/>
      <c r="Z69" s="835"/>
      <c r="AA69" s="835"/>
      <c r="AB69" s="835"/>
      <c r="AC69" s="835"/>
      <c r="AD69" s="835"/>
      <c r="AE69" s="835"/>
      <c r="AF69" s="835"/>
    </row>
    <row r="70" spans="1:32" ht="31.5">
      <c r="A70" s="827" t="s">
        <v>4120</v>
      </c>
      <c r="B70" s="828" t="s">
        <v>4022</v>
      </c>
      <c r="C70" s="828" t="s">
        <v>4121</v>
      </c>
      <c r="D70" s="829" t="s">
        <v>4122</v>
      </c>
      <c r="E70" s="830" t="s">
        <v>4794</v>
      </c>
      <c r="F70" s="830" t="s">
        <v>4794</v>
      </c>
      <c r="G70" s="830" t="s">
        <v>4794</v>
      </c>
      <c r="H70" s="830"/>
      <c r="I70" s="830" t="s">
        <v>4794</v>
      </c>
      <c r="J70" s="831">
        <v>10</v>
      </c>
      <c r="K70" s="830" t="s">
        <v>4794</v>
      </c>
      <c r="L70" s="831">
        <v>10</v>
      </c>
      <c r="M70" s="830" t="s">
        <v>4794</v>
      </c>
      <c r="N70" s="830" t="s">
        <v>4794</v>
      </c>
      <c r="O70" s="830" t="s">
        <v>4794</v>
      </c>
      <c r="P70" s="830" t="s">
        <v>4794</v>
      </c>
      <c r="Q70" s="832">
        <f t="shared" si="0"/>
        <v>20</v>
      </c>
      <c r="R70" s="833" t="s">
        <v>4025</v>
      </c>
      <c r="S70" s="834"/>
      <c r="T70" s="835"/>
      <c r="U70" s="835"/>
      <c r="V70" s="835"/>
      <c r="W70" s="835"/>
      <c r="X70" s="835"/>
      <c r="Y70" s="835"/>
      <c r="Z70" s="835"/>
      <c r="AA70" s="835"/>
      <c r="AB70" s="835"/>
      <c r="AC70" s="835"/>
      <c r="AD70" s="835"/>
      <c r="AE70" s="835"/>
      <c r="AF70" s="835"/>
    </row>
    <row r="71" spans="1:32" ht="21">
      <c r="A71" s="827" t="s">
        <v>4123</v>
      </c>
      <c r="B71" s="828" t="s">
        <v>4022</v>
      </c>
      <c r="C71" s="828" t="s">
        <v>4124</v>
      </c>
      <c r="D71" s="829" t="s">
        <v>4125</v>
      </c>
      <c r="E71" s="830" t="s">
        <v>4794</v>
      </c>
      <c r="F71" s="830" t="s">
        <v>4794</v>
      </c>
      <c r="G71" s="830"/>
      <c r="H71" s="830" t="s">
        <v>4794</v>
      </c>
      <c r="I71" s="830" t="s">
        <v>4794</v>
      </c>
      <c r="J71" s="831">
        <v>10</v>
      </c>
      <c r="K71" s="830" t="s">
        <v>4794</v>
      </c>
      <c r="L71" s="831">
        <v>13</v>
      </c>
      <c r="M71" s="830" t="s">
        <v>4794</v>
      </c>
      <c r="N71" s="830" t="s">
        <v>4794</v>
      </c>
      <c r="O71" s="830" t="s">
        <v>4794</v>
      </c>
      <c r="P71" s="830" t="s">
        <v>4794</v>
      </c>
      <c r="Q71" s="832">
        <f t="shared" si="0"/>
        <v>23</v>
      </c>
      <c r="R71" s="833" t="s">
        <v>4025</v>
      </c>
      <c r="S71" s="834"/>
      <c r="T71" s="835"/>
      <c r="U71" s="835"/>
      <c r="V71" s="835"/>
      <c r="W71" s="835"/>
      <c r="X71" s="835"/>
      <c r="Y71" s="835"/>
      <c r="Z71" s="835"/>
      <c r="AA71" s="835"/>
      <c r="AB71" s="835"/>
      <c r="AC71" s="835"/>
      <c r="AD71" s="835"/>
      <c r="AE71" s="835"/>
      <c r="AF71" s="835"/>
    </row>
    <row r="72" spans="1:32" ht="21">
      <c r="A72" s="827" t="s">
        <v>4126</v>
      </c>
      <c r="B72" s="828" t="s">
        <v>4022</v>
      </c>
      <c r="C72" s="828" t="s">
        <v>4127</v>
      </c>
      <c r="D72" s="829" t="s">
        <v>4128</v>
      </c>
      <c r="E72" s="830" t="s">
        <v>4794</v>
      </c>
      <c r="F72" s="830" t="s">
        <v>4794</v>
      </c>
      <c r="G72" s="830" t="s">
        <v>4794</v>
      </c>
      <c r="H72" s="830" t="s">
        <v>4794</v>
      </c>
      <c r="I72" s="830" t="s">
        <v>4794</v>
      </c>
      <c r="J72" s="831">
        <v>10</v>
      </c>
      <c r="K72" s="830" t="s">
        <v>4794</v>
      </c>
      <c r="L72" s="831">
        <v>10</v>
      </c>
      <c r="M72" s="830" t="s">
        <v>4794</v>
      </c>
      <c r="N72" s="830" t="s">
        <v>4794</v>
      </c>
      <c r="O72" s="830" t="s">
        <v>4794</v>
      </c>
      <c r="P72" s="830" t="s">
        <v>4794</v>
      </c>
      <c r="Q72" s="832">
        <f t="shared" si="0"/>
        <v>20</v>
      </c>
      <c r="R72" s="833" t="s">
        <v>4025</v>
      </c>
      <c r="S72" s="836"/>
      <c r="T72" s="852"/>
      <c r="U72" s="852"/>
      <c r="V72" s="852"/>
      <c r="W72" s="852"/>
      <c r="X72" s="852"/>
      <c r="Y72" s="852"/>
      <c r="Z72" s="852"/>
      <c r="AA72" s="852"/>
      <c r="AB72" s="852"/>
      <c r="AC72" s="852"/>
      <c r="AD72" s="852"/>
      <c r="AE72" s="852"/>
      <c r="AF72" s="835"/>
    </row>
    <row r="73" spans="1:32" ht="21">
      <c r="A73" s="827" t="s">
        <v>4129</v>
      </c>
      <c r="B73" s="828" t="s">
        <v>4022</v>
      </c>
      <c r="C73" s="828" t="s">
        <v>4130</v>
      </c>
      <c r="D73" s="829" t="s">
        <v>4131</v>
      </c>
      <c r="E73" s="830" t="s">
        <v>4794</v>
      </c>
      <c r="F73" s="830" t="s">
        <v>4794</v>
      </c>
      <c r="G73" s="830"/>
      <c r="H73" s="831">
        <v>5</v>
      </c>
      <c r="I73" s="830" t="s">
        <v>4794</v>
      </c>
      <c r="J73" s="831">
        <v>5</v>
      </c>
      <c r="K73" s="830" t="s">
        <v>4794</v>
      </c>
      <c r="L73" s="830" t="s">
        <v>4794</v>
      </c>
      <c r="M73" s="831">
        <v>5</v>
      </c>
      <c r="N73" s="830" t="s">
        <v>4794</v>
      </c>
      <c r="O73" s="830" t="s">
        <v>4794</v>
      </c>
      <c r="P73" s="830"/>
      <c r="Q73" s="832">
        <f t="shared" si="0"/>
        <v>15</v>
      </c>
      <c r="R73" s="833" t="s">
        <v>4025</v>
      </c>
      <c r="S73" s="834"/>
      <c r="T73" s="835"/>
      <c r="U73" s="835"/>
      <c r="V73" s="835"/>
      <c r="W73" s="835"/>
      <c r="X73" s="835"/>
      <c r="Y73" s="835"/>
      <c r="Z73" s="835"/>
      <c r="AA73" s="835"/>
      <c r="AB73" s="835"/>
      <c r="AC73" s="835"/>
      <c r="AD73" s="835"/>
      <c r="AE73" s="835"/>
      <c r="AF73" s="835"/>
    </row>
    <row r="74" spans="1:32" ht="21">
      <c r="A74" s="827" t="s">
        <v>4132</v>
      </c>
      <c r="B74" s="828" t="s">
        <v>4022</v>
      </c>
      <c r="C74" s="828" t="s">
        <v>4133</v>
      </c>
      <c r="D74" s="829" t="s">
        <v>4134</v>
      </c>
      <c r="E74" s="830" t="s">
        <v>4794</v>
      </c>
      <c r="F74" s="830" t="s">
        <v>4794</v>
      </c>
      <c r="G74" s="830" t="s">
        <v>4794</v>
      </c>
      <c r="H74" s="830"/>
      <c r="I74" s="830" t="s">
        <v>4794</v>
      </c>
      <c r="J74" s="830" t="s">
        <v>4794</v>
      </c>
      <c r="K74" s="831">
        <v>9</v>
      </c>
      <c r="L74" s="830" t="s">
        <v>4794</v>
      </c>
      <c r="M74" s="830" t="s">
        <v>4794</v>
      </c>
      <c r="N74" s="830" t="s">
        <v>4794</v>
      </c>
      <c r="O74" s="830" t="s">
        <v>4794</v>
      </c>
      <c r="P74" s="830" t="s">
        <v>4794</v>
      </c>
      <c r="Q74" s="832">
        <f t="shared" si="0"/>
        <v>9</v>
      </c>
      <c r="R74" s="833" t="s">
        <v>4025</v>
      </c>
      <c r="S74" s="834"/>
      <c r="T74" s="835"/>
      <c r="U74" s="835"/>
      <c r="V74" s="835"/>
      <c r="W74" s="835"/>
      <c r="X74" s="835"/>
      <c r="Y74" s="835"/>
      <c r="Z74" s="835"/>
      <c r="AA74" s="835"/>
      <c r="AB74" s="835"/>
      <c r="AC74" s="835"/>
      <c r="AD74" s="835"/>
      <c r="AE74" s="835"/>
      <c r="AF74" s="835"/>
    </row>
    <row r="75" spans="1:32" ht="42">
      <c r="A75" s="827" t="s">
        <v>4135</v>
      </c>
      <c r="B75" s="828" t="s">
        <v>4022</v>
      </c>
      <c r="C75" s="828" t="s">
        <v>4136</v>
      </c>
      <c r="D75" s="829" t="s">
        <v>4137</v>
      </c>
      <c r="E75" s="830" t="s">
        <v>4794</v>
      </c>
      <c r="F75" s="830" t="s">
        <v>4794</v>
      </c>
      <c r="G75" s="830" t="s">
        <v>4794</v>
      </c>
      <c r="H75" s="830" t="s">
        <v>4794</v>
      </c>
      <c r="I75" s="830" t="s">
        <v>4794</v>
      </c>
      <c r="J75" s="831">
        <v>10</v>
      </c>
      <c r="K75" s="830" t="s">
        <v>4794</v>
      </c>
      <c r="L75" s="830" t="s">
        <v>4794</v>
      </c>
      <c r="M75" s="830" t="s">
        <v>4794</v>
      </c>
      <c r="N75" s="830" t="s">
        <v>4794</v>
      </c>
      <c r="O75" s="830" t="s">
        <v>4794</v>
      </c>
      <c r="P75" s="830"/>
      <c r="Q75" s="832">
        <f t="shared" si="0"/>
        <v>10</v>
      </c>
      <c r="R75" s="833" t="s">
        <v>4025</v>
      </c>
      <c r="S75" s="834"/>
      <c r="T75" s="835"/>
      <c r="U75" s="835"/>
      <c r="V75" s="835"/>
      <c r="W75" s="835"/>
      <c r="X75" s="835"/>
      <c r="Y75" s="835"/>
      <c r="Z75" s="835"/>
      <c r="AA75" s="835"/>
      <c r="AB75" s="835"/>
      <c r="AC75" s="835"/>
      <c r="AD75" s="835"/>
      <c r="AE75" s="835"/>
      <c r="AF75" s="835"/>
    </row>
    <row r="76" spans="1:32" ht="31.5">
      <c r="A76" s="827" t="s">
        <v>4138</v>
      </c>
      <c r="B76" s="828" t="s">
        <v>4022</v>
      </c>
      <c r="C76" s="828" t="s">
        <v>4139</v>
      </c>
      <c r="D76" s="829" t="s">
        <v>4140</v>
      </c>
      <c r="E76" s="830" t="s">
        <v>4794</v>
      </c>
      <c r="F76" s="830" t="s">
        <v>4794</v>
      </c>
      <c r="G76" s="830" t="s">
        <v>4794</v>
      </c>
      <c r="H76" s="830" t="s">
        <v>4794</v>
      </c>
      <c r="I76" s="830" t="s">
        <v>4794</v>
      </c>
      <c r="J76" s="831">
        <v>10</v>
      </c>
      <c r="K76" s="830" t="s">
        <v>4794</v>
      </c>
      <c r="L76" s="830" t="s">
        <v>4794</v>
      </c>
      <c r="M76" s="830" t="s">
        <v>4794</v>
      </c>
      <c r="N76" s="830" t="s">
        <v>4794</v>
      </c>
      <c r="O76" s="830"/>
      <c r="P76" s="830" t="s">
        <v>4794</v>
      </c>
      <c r="Q76" s="832">
        <f t="shared" si="0"/>
        <v>10</v>
      </c>
      <c r="R76" s="833" t="s">
        <v>4025</v>
      </c>
      <c r="S76" s="834"/>
      <c r="T76" s="835"/>
      <c r="U76" s="835"/>
      <c r="V76" s="835"/>
      <c r="W76" s="835"/>
      <c r="X76" s="835"/>
      <c r="Y76" s="835"/>
      <c r="Z76" s="835"/>
      <c r="AA76" s="835"/>
      <c r="AB76" s="835"/>
      <c r="AC76" s="835"/>
      <c r="AD76" s="835"/>
      <c r="AE76" s="835"/>
      <c r="AF76" s="835"/>
    </row>
    <row r="77" spans="1:32" ht="21">
      <c r="A77" s="827" t="s">
        <v>4141</v>
      </c>
      <c r="B77" s="828" t="s">
        <v>4022</v>
      </c>
      <c r="C77" s="828" t="s">
        <v>4142</v>
      </c>
      <c r="D77" s="829" t="s">
        <v>4143</v>
      </c>
      <c r="E77" s="830" t="s">
        <v>4794</v>
      </c>
      <c r="F77" s="830" t="s">
        <v>4794</v>
      </c>
      <c r="G77" s="830" t="s">
        <v>4794</v>
      </c>
      <c r="H77" s="830" t="s">
        <v>4794</v>
      </c>
      <c r="I77" s="830" t="s">
        <v>4794</v>
      </c>
      <c r="J77" s="831">
        <v>10</v>
      </c>
      <c r="K77" s="830" t="s">
        <v>4794</v>
      </c>
      <c r="L77" s="830" t="s">
        <v>4794</v>
      </c>
      <c r="M77" s="830" t="s">
        <v>4794</v>
      </c>
      <c r="N77" s="830" t="s">
        <v>4794</v>
      </c>
      <c r="O77" s="830" t="s">
        <v>4794</v>
      </c>
      <c r="P77" s="830"/>
      <c r="Q77" s="832">
        <f t="shared" si="0"/>
        <v>10</v>
      </c>
      <c r="R77" s="833" t="s">
        <v>4025</v>
      </c>
      <c r="S77" s="834"/>
      <c r="T77" s="853"/>
      <c r="U77" s="853"/>
      <c r="V77" s="853"/>
      <c r="W77" s="853"/>
      <c r="X77" s="853"/>
      <c r="Y77" s="853"/>
      <c r="Z77" s="853"/>
      <c r="AA77" s="853"/>
      <c r="AB77" s="853"/>
      <c r="AC77" s="853"/>
      <c r="AD77" s="853"/>
      <c r="AE77" s="853"/>
      <c r="AF77" s="835"/>
    </row>
    <row r="78" spans="1:32" ht="21">
      <c r="A78" s="827" t="s">
        <v>4144</v>
      </c>
      <c r="B78" s="828" t="s">
        <v>4022</v>
      </c>
      <c r="C78" s="828" t="s">
        <v>4145</v>
      </c>
      <c r="D78" s="829" t="s">
        <v>4146</v>
      </c>
      <c r="E78" s="830" t="s">
        <v>4794</v>
      </c>
      <c r="F78" s="830"/>
      <c r="G78" s="830" t="s">
        <v>4794</v>
      </c>
      <c r="H78" s="831">
        <v>10</v>
      </c>
      <c r="I78" s="830" t="s">
        <v>4794</v>
      </c>
      <c r="J78" s="830" t="s">
        <v>4794</v>
      </c>
      <c r="K78" s="830" t="s">
        <v>4794</v>
      </c>
      <c r="L78" s="830" t="s">
        <v>4794</v>
      </c>
      <c r="M78" s="830" t="s">
        <v>4794</v>
      </c>
      <c r="N78" s="830" t="s">
        <v>4794</v>
      </c>
      <c r="O78" s="830" t="s">
        <v>4794</v>
      </c>
      <c r="P78" s="830" t="s">
        <v>4794</v>
      </c>
      <c r="Q78" s="832">
        <f t="shared" si="0"/>
        <v>10</v>
      </c>
      <c r="R78" s="833" t="s">
        <v>4025</v>
      </c>
      <c r="S78" s="834"/>
      <c r="T78" s="853"/>
      <c r="U78" s="853"/>
      <c r="V78" s="853"/>
      <c r="W78" s="853"/>
      <c r="X78" s="853"/>
      <c r="Y78" s="853"/>
      <c r="Z78" s="853"/>
      <c r="AA78" s="853"/>
      <c r="AB78" s="853"/>
      <c r="AC78" s="853"/>
      <c r="AD78" s="853"/>
      <c r="AE78" s="853"/>
      <c r="AF78" s="835"/>
    </row>
    <row r="79" spans="1:32" ht="21">
      <c r="A79" s="827" t="s">
        <v>4147</v>
      </c>
      <c r="B79" s="828" t="s">
        <v>4022</v>
      </c>
      <c r="C79" s="828" t="s">
        <v>4148</v>
      </c>
      <c r="D79" s="829" t="s">
        <v>4149</v>
      </c>
      <c r="E79" s="830" t="s">
        <v>4794</v>
      </c>
      <c r="F79" s="830" t="s">
        <v>4794</v>
      </c>
      <c r="G79" s="830"/>
      <c r="H79" s="830" t="s">
        <v>4794</v>
      </c>
      <c r="I79" s="831">
        <v>10</v>
      </c>
      <c r="J79" s="830" t="s">
        <v>4794</v>
      </c>
      <c r="K79" s="830" t="s">
        <v>4794</v>
      </c>
      <c r="L79" s="830" t="s">
        <v>4794</v>
      </c>
      <c r="M79" s="830" t="s">
        <v>4794</v>
      </c>
      <c r="N79" s="830" t="s">
        <v>4794</v>
      </c>
      <c r="O79" s="830" t="s">
        <v>4794</v>
      </c>
      <c r="P79" s="830" t="s">
        <v>4794</v>
      </c>
      <c r="Q79" s="832">
        <f t="shared" si="0"/>
        <v>10</v>
      </c>
      <c r="R79" s="833" t="s">
        <v>4025</v>
      </c>
      <c r="S79" s="834"/>
      <c r="T79" s="853"/>
      <c r="U79" s="853"/>
      <c r="V79" s="853"/>
      <c r="W79" s="853"/>
      <c r="X79" s="853"/>
      <c r="Y79" s="853"/>
      <c r="Z79" s="853"/>
      <c r="AA79" s="853"/>
      <c r="AB79" s="853"/>
      <c r="AC79" s="853"/>
      <c r="AD79" s="853"/>
      <c r="AE79" s="853"/>
      <c r="AF79" s="835"/>
    </row>
    <row r="80" spans="1:32" ht="42">
      <c r="A80" s="827" t="s">
        <v>4150</v>
      </c>
      <c r="B80" s="828" t="s">
        <v>4022</v>
      </c>
      <c r="C80" s="828" t="s">
        <v>4151</v>
      </c>
      <c r="D80" s="829" t="s">
        <v>760</v>
      </c>
      <c r="E80" s="830" t="s">
        <v>4794</v>
      </c>
      <c r="F80" s="830" t="s">
        <v>4794</v>
      </c>
      <c r="G80" s="830"/>
      <c r="H80" s="830" t="s">
        <v>4794</v>
      </c>
      <c r="I80" s="831">
        <v>10</v>
      </c>
      <c r="J80" s="830" t="s">
        <v>4794</v>
      </c>
      <c r="K80" s="830" t="s">
        <v>4794</v>
      </c>
      <c r="L80" s="830" t="s">
        <v>4794</v>
      </c>
      <c r="M80" s="830" t="s">
        <v>4794</v>
      </c>
      <c r="N80" s="830" t="s">
        <v>4794</v>
      </c>
      <c r="O80" s="830" t="s">
        <v>4794</v>
      </c>
      <c r="P80" s="831">
        <v>10</v>
      </c>
      <c r="Q80" s="832">
        <f t="shared" si="0"/>
        <v>20</v>
      </c>
      <c r="R80" s="833" t="s">
        <v>4025</v>
      </c>
      <c r="S80" s="834"/>
      <c r="T80" s="853"/>
      <c r="U80" s="853"/>
      <c r="V80" s="853"/>
      <c r="W80" s="853"/>
      <c r="X80" s="853"/>
      <c r="Y80" s="853"/>
      <c r="Z80" s="853"/>
      <c r="AA80" s="853"/>
      <c r="AB80" s="853"/>
      <c r="AC80" s="853"/>
      <c r="AD80" s="853"/>
      <c r="AE80" s="853"/>
      <c r="AF80" s="835"/>
    </row>
    <row r="81" spans="1:32" ht="42">
      <c r="A81" s="827" t="s">
        <v>761</v>
      </c>
      <c r="B81" s="828" t="s">
        <v>4022</v>
      </c>
      <c r="C81" s="828" t="s">
        <v>762</v>
      </c>
      <c r="D81" s="829" t="s">
        <v>763</v>
      </c>
      <c r="E81" s="830" t="s">
        <v>4794</v>
      </c>
      <c r="F81" s="830" t="s">
        <v>4794</v>
      </c>
      <c r="G81" s="830" t="s">
        <v>4794</v>
      </c>
      <c r="H81" s="830" t="s">
        <v>4794</v>
      </c>
      <c r="I81" s="830" t="s">
        <v>4794</v>
      </c>
      <c r="J81" s="830" t="s">
        <v>4794</v>
      </c>
      <c r="K81" s="830" t="s">
        <v>4794</v>
      </c>
      <c r="L81" s="830" t="s">
        <v>4794</v>
      </c>
      <c r="M81" s="830" t="s">
        <v>4794</v>
      </c>
      <c r="N81" s="831">
        <v>10</v>
      </c>
      <c r="O81" s="830" t="s">
        <v>4794</v>
      </c>
      <c r="P81" s="830" t="s">
        <v>4794</v>
      </c>
      <c r="Q81" s="832">
        <f t="shared" si="0"/>
        <v>10</v>
      </c>
      <c r="R81" s="833" t="s">
        <v>4025</v>
      </c>
      <c r="S81" s="834"/>
      <c r="T81" s="835"/>
      <c r="U81" s="835"/>
      <c r="V81" s="835"/>
      <c r="W81" s="835"/>
      <c r="X81" s="835"/>
      <c r="Y81" s="835"/>
      <c r="Z81" s="835"/>
      <c r="AA81" s="835"/>
      <c r="AB81" s="835"/>
      <c r="AC81" s="835"/>
      <c r="AD81" s="835"/>
      <c r="AE81" s="835"/>
      <c r="AF81" s="835"/>
    </row>
    <row r="82" spans="1:32" ht="42">
      <c r="A82" s="827" t="s">
        <v>764</v>
      </c>
      <c r="B82" s="828" t="s">
        <v>3711</v>
      </c>
      <c r="C82" s="828" t="s">
        <v>765</v>
      </c>
      <c r="D82" s="829" t="s">
        <v>766</v>
      </c>
      <c r="E82" s="830" t="s">
        <v>4794</v>
      </c>
      <c r="F82" s="830" t="s">
        <v>4794</v>
      </c>
      <c r="G82" s="830" t="s">
        <v>4794</v>
      </c>
      <c r="H82" s="830" t="s">
        <v>4794</v>
      </c>
      <c r="I82" s="830" t="s">
        <v>4794</v>
      </c>
      <c r="J82" s="831">
        <v>10</v>
      </c>
      <c r="K82" s="830" t="s">
        <v>4794</v>
      </c>
      <c r="L82" s="830" t="s">
        <v>4794</v>
      </c>
      <c r="M82" s="830" t="s">
        <v>4794</v>
      </c>
      <c r="N82" s="830" t="s">
        <v>4794</v>
      </c>
      <c r="O82" s="830" t="s">
        <v>4794</v>
      </c>
      <c r="P82" s="830" t="s">
        <v>4794</v>
      </c>
      <c r="Q82" s="832">
        <f t="shared" si="0"/>
        <v>10</v>
      </c>
      <c r="R82" s="833" t="s">
        <v>4025</v>
      </c>
      <c r="S82" s="834"/>
      <c r="T82" s="835"/>
      <c r="U82" s="835"/>
      <c r="V82" s="835"/>
      <c r="W82" s="835"/>
      <c r="X82" s="835"/>
      <c r="Y82" s="835"/>
      <c r="Z82" s="835"/>
      <c r="AA82" s="835"/>
      <c r="AB82" s="835"/>
      <c r="AC82" s="835"/>
      <c r="AD82" s="835"/>
      <c r="AE82" s="835"/>
      <c r="AF82" s="835"/>
    </row>
    <row r="83" spans="1:32" ht="42">
      <c r="A83" s="827" t="s">
        <v>767</v>
      </c>
      <c r="B83" s="828" t="s">
        <v>3711</v>
      </c>
      <c r="C83" s="828">
        <v>9107382</v>
      </c>
      <c r="D83" s="829" t="s">
        <v>768</v>
      </c>
      <c r="E83" s="830"/>
      <c r="F83" s="831">
        <v>10</v>
      </c>
      <c r="G83" s="831">
        <v>10</v>
      </c>
      <c r="H83" s="831">
        <v>10</v>
      </c>
      <c r="I83" s="830"/>
      <c r="J83" s="831">
        <v>20</v>
      </c>
      <c r="K83" s="830"/>
      <c r="L83" s="831">
        <v>20</v>
      </c>
      <c r="M83" s="830"/>
      <c r="N83" s="831">
        <v>10</v>
      </c>
      <c r="O83" s="831">
        <v>10</v>
      </c>
      <c r="P83" s="830"/>
      <c r="Q83" s="832">
        <f>SUM(E83:P83)</f>
        <v>90</v>
      </c>
      <c r="R83" s="833" t="s">
        <v>4025</v>
      </c>
      <c r="S83" s="834"/>
      <c r="T83" s="835"/>
      <c r="U83" s="835"/>
      <c r="V83" s="835"/>
      <c r="W83" s="835"/>
      <c r="X83" s="835"/>
      <c r="Y83" s="835"/>
      <c r="Z83" s="835"/>
      <c r="AA83" s="835"/>
      <c r="AB83" s="835"/>
      <c r="AC83" s="835"/>
      <c r="AD83" s="835"/>
      <c r="AE83" s="835"/>
      <c r="AF83" s="835"/>
    </row>
    <row r="84" spans="1:32" ht="63">
      <c r="A84" s="827" t="s">
        <v>769</v>
      </c>
      <c r="B84" s="854" t="s">
        <v>4022</v>
      </c>
      <c r="C84" s="854">
        <v>3901742</v>
      </c>
      <c r="D84" s="855" t="s">
        <v>770</v>
      </c>
      <c r="E84" s="854"/>
      <c r="F84" s="854"/>
      <c r="G84" s="854"/>
      <c r="H84" s="854"/>
      <c r="I84" s="854"/>
      <c r="J84" s="856">
        <v>4</v>
      </c>
      <c r="K84" s="830"/>
      <c r="L84" s="830"/>
      <c r="M84" s="830"/>
      <c r="N84" s="830"/>
      <c r="O84" s="830"/>
      <c r="P84" s="830"/>
      <c r="Q84" s="832">
        <f>SUM(E84:P84)</f>
        <v>4</v>
      </c>
      <c r="R84" s="854" t="s">
        <v>4025</v>
      </c>
      <c r="S84" s="834"/>
      <c r="T84" s="835"/>
      <c r="U84" s="835"/>
      <c r="V84" s="835"/>
      <c r="W84" s="835"/>
      <c r="X84" s="835"/>
      <c r="Y84" s="835"/>
      <c r="Z84" s="835"/>
      <c r="AA84" s="835"/>
      <c r="AB84" s="835"/>
      <c r="AC84" s="835"/>
      <c r="AD84" s="835"/>
      <c r="AE84" s="835"/>
      <c r="AF84" s="835"/>
    </row>
    <row r="85" spans="1:32" ht="52.5">
      <c r="A85" s="827" t="s">
        <v>771</v>
      </c>
      <c r="B85" s="854" t="s">
        <v>4022</v>
      </c>
      <c r="C85" s="854">
        <v>3904080</v>
      </c>
      <c r="D85" s="855" t="s">
        <v>772</v>
      </c>
      <c r="E85" s="854"/>
      <c r="F85" s="854"/>
      <c r="G85" s="854"/>
      <c r="H85" s="854"/>
      <c r="I85" s="854"/>
      <c r="J85" s="856">
        <v>4</v>
      </c>
      <c r="K85" s="830"/>
      <c r="L85" s="830"/>
      <c r="M85" s="830"/>
      <c r="N85" s="830"/>
      <c r="O85" s="830"/>
      <c r="P85" s="830"/>
      <c r="Q85" s="832">
        <f>SUM(E85:P85)</f>
        <v>4</v>
      </c>
      <c r="R85" s="854" t="s">
        <v>4025</v>
      </c>
      <c r="S85" s="834"/>
      <c r="T85" s="835"/>
      <c r="U85" s="835"/>
      <c r="V85" s="835"/>
      <c r="W85" s="835"/>
      <c r="X85" s="835"/>
      <c r="Y85" s="835"/>
      <c r="Z85" s="835"/>
      <c r="AA85" s="835"/>
      <c r="AB85" s="835"/>
      <c r="AC85" s="835"/>
      <c r="AD85" s="835"/>
      <c r="AE85" s="835"/>
      <c r="AF85" s="835"/>
    </row>
    <row r="86" spans="1:32" ht="42">
      <c r="A86" s="827" t="s">
        <v>773</v>
      </c>
      <c r="B86" s="854" t="s">
        <v>4022</v>
      </c>
      <c r="C86" s="854">
        <v>9105751</v>
      </c>
      <c r="D86" s="855" t="s">
        <v>774</v>
      </c>
      <c r="E86" s="854"/>
      <c r="F86" s="854"/>
      <c r="G86" s="854"/>
      <c r="H86" s="854"/>
      <c r="I86" s="854"/>
      <c r="J86" s="856">
        <v>2</v>
      </c>
      <c r="K86" s="830"/>
      <c r="L86" s="830"/>
      <c r="M86" s="830"/>
      <c r="N86" s="830"/>
      <c r="O86" s="830"/>
      <c r="P86" s="830"/>
      <c r="Q86" s="832">
        <f>SUM(E86:P86)</f>
        <v>2</v>
      </c>
      <c r="R86" s="854" t="s">
        <v>4025</v>
      </c>
      <c r="S86" s="834"/>
      <c r="T86" s="835"/>
      <c r="U86" s="835"/>
      <c r="V86" s="835"/>
      <c r="W86" s="835"/>
      <c r="X86" s="835"/>
      <c r="Y86" s="835"/>
      <c r="Z86" s="835"/>
      <c r="AA86" s="835"/>
      <c r="AB86" s="835"/>
      <c r="AC86" s="835"/>
      <c r="AD86" s="835"/>
      <c r="AE86" s="835"/>
      <c r="AF86" s="835"/>
    </row>
    <row r="87" spans="1:32" ht="21">
      <c r="A87" s="827" t="s">
        <v>775</v>
      </c>
      <c r="B87" s="828" t="s">
        <v>4022</v>
      </c>
      <c r="C87" s="828" t="s">
        <v>776</v>
      </c>
      <c r="D87" s="829" t="s">
        <v>777</v>
      </c>
      <c r="E87" s="830" t="s">
        <v>4794</v>
      </c>
      <c r="F87" s="830" t="s">
        <v>4794</v>
      </c>
      <c r="G87" s="830" t="s">
        <v>4794</v>
      </c>
      <c r="H87" s="830" t="s">
        <v>4794</v>
      </c>
      <c r="I87" s="831">
        <v>15</v>
      </c>
      <c r="J87" s="830" t="s">
        <v>4794</v>
      </c>
      <c r="K87" s="830" t="s">
        <v>4794</v>
      </c>
      <c r="L87" s="830" t="s">
        <v>4794</v>
      </c>
      <c r="M87" s="830" t="s">
        <v>4794</v>
      </c>
      <c r="N87" s="830" t="s">
        <v>4794</v>
      </c>
      <c r="O87" s="830" t="s">
        <v>4794</v>
      </c>
      <c r="P87" s="830" t="s">
        <v>4794</v>
      </c>
      <c r="Q87" s="832">
        <f>SUM(E87:P87)</f>
        <v>15</v>
      </c>
      <c r="R87" s="833" t="s">
        <v>4025</v>
      </c>
      <c r="S87" s="834"/>
      <c r="T87" s="835"/>
      <c r="U87" s="835"/>
      <c r="V87" s="835"/>
      <c r="W87" s="835"/>
      <c r="X87" s="835"/>
      <c r="Y87" s="835"/>
      <c r="Z87" s="835"/>
      <c r="AA87" s="835"/>
      <c r="AB87" s="835"/>
      <c r="AC87" s="835"/>
      <c r="AD87" s="835"/>
      <c r="AE87" s="835"/>
      <c r="AF87" s="835"/>
    </row>
    <row r="88" spans="1:32" ht="73.5">
      <c r="A88" s="827" t="s">
        <v>778</v>
      </c>
      <c r="B88" s="828" t="s">
        <v>4022</v>
      </c>
      <c r="C88" s="828" t="s">
        <v>779</v>
      </c>
      <c r="D88" s="829" t="s">
        <v>3247</v>
      </c>
      <c r="E88" s="830"/>
      <c r="F88" s="830" t="s">
        <v>4794</v>
      </c>
      <c r="G88" s="830"/>
      <c r="H88" s="830"/>
      <c r="I88" s="830" t="s">
        <v>4794</v>
      </c>
      <c r="J88" s="831">
        <v>1</v>
      </c>
      <c r="K88" s="830" t="s">
        <v>4794</v>
      </c>
      <c r="L88" s="830"/>
      <c r="M88" s="830"/>
      <c r="N88" s="830"/>
      <c r="O88" s="830"/>
      <c r="P88" s="830"/>
      <c r="Q88" s="832">
        <f t="shared" si="0"/>
        <v>1</v>
      </c>
      <c r="R88" s="833" t="s">
        <v>4025</v>
      </c>
      <c r="S88" s="834"/>
      <c r="T88" s="835"/>
      <c r="U88" s="835"/>
      <c r="V88" s="835"/>
      <c r="W88" s="835"/>
      <c r="X88" s="835"/>
      <c r="Y88" s="835"/>
      <c r="Z88" s="835"/>
      <c r="AA88" s="835"/>
      <c r="AB88" s="835"/>
      <c r="AC88" s="835"/>
      <c r="AD88" s="835"/>
      <c r="AE88" s="835"/>
      <c r="AF88" s="835"/>
    </row>
    <row r="89" spans="1:32" ht="63">
      <c r="A89" s="827" t="s">
        <v>3248</v>
      </c>
      <c r="B89" s="828" t="s">
        <v>4022</v>
      </c>
      <c r="C89" s="828" t="s">
        <v>3249</v>
      </c>
      <c r="D89" s="829" t="s">
        <v>3250</v>
      </c>
      <c r="E89" s="830" t="s">
        <v>4794</v>
      </c>
      <c r="F89" s="830" t="s">
        <v>4794</v>
      </c>
      <c r="G89" s="830"/>
      <c r="H89" s="830"/>
      <c r="I89" s="830"/>
      <c r="J89" s="830"/>
      <c r="K89" s="831">
        <v>7</v>
      </c>
      <c r="L89" s="830"/>
      <c r="M89" s="830"/>
      <c r="N89" s="830"/>
      <c r="O89" s="830"/>
      <c r="P89" s="830"/>
      <c r="Q89" s="832">
        <f t="shared" si="0"/>
        <v>7</v>
      </c>
      <c r="R89" s="833" t="s">
        <v>4025</v>
      </c>
      <c r="S89" s="834"/>
      <c r="T89" s="835"/>
      <c r="U89" s="835"/>
      <c r="V89" s="835"/>
      <c r="W89" s="835"/>
      <c r="X89" s="835"/>
      <c r="Y89" s="835"/>
      <c r="Z89" s="835"/>
      <c r="AA89" s="835"/>
      <c r="AB89" s="835"/>
      <c r="AC89" s="835"/>
      <c r="AD89" s="835"/>
      <c r="AE89" s="835"/>
      <c r="AF89" s="835"/>
    </row>
    <row r="90" spans="1:32" ht="63">
      <c r="A90" s="827" t="s">
        <v>3251</v>
      </c>
      <c r="B90" s="828" t="s">
        <v>4022</v>
      </c>
      <c r="C90" s="828" t="s">
        <v>3252</v>
      </c>
      <c r="D90" s="829" t="s">
        <v>3253</v>
      </c>
      <c r="E90" s="830" t="s">
        <v>4794</v>
      </c>
      <c r="F90" s="830" t="s">
        <v>4794</v>
      </c>
      <c r="G90" s="830"/>
      <c r="H90" s="830"/>
      <c r="I90" s="830"/>
      <c r="J90" s="831">
        <v>7</v>
      </c>
      <c r="K90" s="830"/>
      <c r="L90" s="830"/>
      <c r="M90" s="830"/>
      <c r="N90" s="830"/>
      <c r="O90" s="830"/>
      <c r="P90" s="830"/>
      <c r="Q90" s="832">
        <f t="shared" si="0"/>
        <v>7</v>
      </c>
      <c r="R90" s="833" t="s">
        <v>4025</v>
      </c>
      <c r="S90" s="834"/>
      <c r="T90" s="835"/>
      <c r="U90" s="835"/>
      <c r="V90" s="835"/>
      <c r="W90" s="835"/>
      <c r="X90" s="835"/>
      <c r="Y90" s="835"/>
      <c r="Z90" s="835"/>
      <c r="AA90" s="835"/>
      <c r="AB90" s="835"/>
      <c r="AC90" s="835"/>
      <c r="AD90" s="835"/>
      <c r="AE90" s="835"/>
      <c r="AF90" s="835"/>
    </row>
    <row r="91" spans="1:32" ht="63">
      <c r="A91" s="827" t="s">
        <v>3254</v>
      </c>
      <c r="B91" s="828" t="s">
        <v>4022</v>
      </c>
      <c r="C91" s="828" t="s">
        <v>3255</v>
      </c>
      <c r="D91" s="829" t="s">
        <v>3256</v>
      </c>
      <c r="E91" s="830" t="s">
        <v>4794</v>
      </c>
      <c r="F91" s="830"/>
      <c r="G91" s="830"/>
      <c r="H91" s="830"/>
      <c r="I91" s="830"/>
      <c r="J91" s="831">
        <v>7</v>
      </c>
      <c r="K91" s="830"/>
      <c r="L91" s="830"/>
      <c r="M91" s="830"/>
      <c r="N91" s="830"/>
      <c r="O91" s="830"/>
      <c r="P91" s="830" t="s">
        <v>4794</v>
      </c>
      <c r="Q91" s="832">
        <f t="shared" ref="Q91:Q154" si="1">SUM(E91:P91)</f>
        <v>7</v>
      </c>
      <c r="R91" s="833" t="s">
        <v>4025</v>
      </c>
      <c r="S91" s="834"/>
      <c r="T91" s="835"/>
      <c r="U91" s="835"/>
      <c r="V91" s="835"/>
      <c r="W91" s="835"/>
      <c r="X91" s="835"/>
      <c r="Y91" s="835"/>
      <c r="Z91" s="835"/>
      <c r="AA91" s="835"/>
      <c r="AB91" s="835"/>
      <c r="AC91" s="835"/>
      <c r="AD91" s="835"/>
      <c r="AE91" s="835"/>
      <c r="AF91" s="835"/>
    </row>
    <row r="92" spans="1:32" ht="63">
      <c r="A92" s="827" t="s">
        <v>3257</v>
      </c>
      <c r="B92" s="828" t="s">
        <v>4022</v>
      </c>
      <c r="C92" s="828" t="s">
        <v>3258</v>
      </c>
      <c r="D92" s="829" t="s">
        <v>3259</v>
      </c>
      <c r="E92" s="830" t="s">
        <v>4794</v>
      </c>
      <c r="F92" s="830"/>
      <c r="G92" s="830"/>
      <c r="H92" s="830"/>
      <c r="I92" s="830"/>
      <c r="J92" s="830"/>
      <c r="K92" s="831">
        <v>7</v>
      </c>
      <c r="L92" s="830"/>
      <c r="M92" s="830"/>
      <c r="N92" s="830"/>
      <c r="O92" s="830"/>
      <c r="P92" s="830" t="s">
        <v>4794</v>
      </c>
      <c r="Q92" s="832">
        <f t="shared" si="1"/>
        <v>7</v>
      </c>
      <c r="R92" s="833" t="s">
        <v>4025</v>
      </c>
      <c r="S92" s="834"/>
      <c r="T92" s="835"/>
      <c r="U92" s="835"/>
      <c r="V92" s="835"/>
      <c r="W92" s="835"/>
      <c r="X92" s="835"/>
      <c r="Y92" s="835"/>
      <c r="Z92" s="835"/>
      <c r="AA92" s="835"/>
      <c r="AB92" s="835"/>
      <c r="AC92" s="835"/>
      <c r="AD92" s="835"/>
      <c r="AE92" s="835"/>
      <c r="AF92" s="835"/>
    </row>
    <row r="93" spans="1:32" ht="31.5">
      <c r="A93" s="827" t="s">
        <v>3260</v>
      </c>
      <c r="B93" s="828" t="s">
        <v>4022</v>
      </c>
      <c r="C93" s="828" t="s">
        <v>3261</v>
      </c>
      <c r="D93" s="829" t="s">
        <v>3262</v>
      </c>
      <c r="E93" s="830" t="s">
        <v>4794</v>
      </c>
      <c r="F93" s="830" t="s">
        <v>4794</v>
      </c>
      <c r="G93" s="830"/>
      <c r="H93" s="830" t="s">
        <v>4794</v>
      </c>
      <c r="I93" s="830" t="s">
        <v>4794</v>
      </c>
      <c r="J93" s="830" t="s">
        <v>4794</v>
      </c>
      <c r="K93" s="830" t="s">
        <v>4794</v>
      </c>
      <c r="L93" s="830" t="s">
        <v>4794</v>
      </c>
      <c r="M93" s="830" t="s">
        <v>4794</v>
      </c>
      <c r="N93" s="830" t="s">
        <v>4794</v>
      </c>
      <c r="O93" s="831">
        <v>10</v>
      </c>
      <c r="P93" s="830" t="s">
        <v>4794</v>
      </c>
      <c r="Q93" s="832">
        <f t="shared" si="1"/>
        <v>10</v>
      </c>
      <c r="R93" s="833" t="s">
        <v>4025</v>
      </c>
      <c r="S93" s="834"/>
      <c r="T93" s="835"/>
      <c r="U93" s="835"/>
      <c r="V93" s="835"/>
      <c r="W93" s="835"/>
      <c r="X93" s="835"/>
      <c r="Y93" s="835"/>
      <c r="Z93" s="835"/>
      <c r="AA93" s="835"/>
      <c r="AB93" s="835"/>
      <c r="AC93" s="835"/>
      <c r="AD93" s="835"/>
      <c r="AE93" s="835"/>
      <c r="AF93" s="835"/>
    </row>
    <row r="94" spans="1:32" ht="52.5">
      <c r="A94" s="827" t="s">
        <v>3263</v>
      </c>
      <c r="B94" s="828" t="s">
        <v>4022</v>
      </c>
      <c r="C94" s="828" t="s">
        <v>3264</v>
      </c>
      <c r="D94" s="829" t="s">
        <v>3265</v>
      </c>
      <c r="E94" s="830" t="s">
        <v>4794</v>
      </c>
      <c r="F94" s="830" t="s">
        <v>4794</v>
      </c>
      <c r="G94" s="830" t="s">
        <v>4794</v>
      </c>
      <c r="H94" s="830" t="s">
        <v>4794</v>
      </c>
      <c r="I94" s="830" t="s">
        <v>4794</v>
      </c>
      <c r="J94" s="830" t="s">
        <v>4794</v>
      </c>
      <c r="K94" s="830" t="s">
        <v>4794</v>
      </c>
      <c r="L94" s="831">
        <v>5</v>
      </c>
      <c r="M94" s="830" t="s">
        <v>4794</v>
      </c>
      <c r="N94" s="830" t="s">
        <v>4794</v>
      </c>
      <c r="O94" s="830" t="s">
        <v>4794</v>
      </c>
      <c r="P94" s="830" t="s">
        <v>4794</v>
      </c>
      <c r="Q94" s="832">
        <f t="shared" si="1"/>
        <v>5</v>
      </c>
      <c r="R94" s="833" t="s">
        <v>4025</v>
      </c>
      <c r="S94" s="834"/>
      <c r="T94" s="835"/>
      <c r="U94" s="835"/>
      <c r="V94" s="835"/>
      <c r="W94" s="835"/>
      <c r="X94" s="835"/>
      <c r="Y94" s="835"/>
      <c r="Z94" s="835"/>
      <c r="AA94" s="835"/>
      <c r="AB94" s="835"/>
      <c r="AC94" s="835"/>
      <c r="AD94" s="835"/>
      <c r="AE94" s="835"/>
      <c r="AF94" s="835"/>
    </row>
    <row r="95" spans="1:32" ht="63">
      <c r="A95" s="827" t="s">
        <v>3266</v>
      </c>
      <c r="B95" s="828" t="s">
        <v>4022</v>
      </c>
      <c r="C95" s="828" t="s">
        <v>3267</v>
      </c>
      <c r="D95" s="829" t="s">
        <v>3268</v>
      </c>
      <c r="E95" s="830" t="s">
        <v>4794</v>
      </c>
      <c r="F95" s="830" t="s">
        <v>4794</v>
      </c>
      <c r="G95" s="830" t="s">
        <v>4794</v>
      </c>
      <c r="H95" s="830" t="s">
        <v>4794</v>
      </c>
      <c r="I95" s="830" t="s">
        <v>4794</v>
      </c>
      <c r="J95" s="830" t="s">
        <v>4794</v>
      </c>
      <c r="K95" s="830" t="s">
        <v>4794</v>
      </c>
      <c r="L95" s="831">
        <v>5</v>
      </c>
      <c r="M95" s="830" t="s">
        <v>4794</v>
      </c>
      <c r="N95" s="830" t="s">
        <v>4794</v>
      </c>
      <c r="O95" s="830" t="s">
        <v>4794</v>
      </c>
      <c r="P95" s="830" t="s">
        <v>4794</v>
      </c>
      <c r="Q95" s="832">
        <f t="shared" si="1"/>
        <v>5</v>
      </c>
      <c r="R95" s="833" t="s">
        <v>4025</v>
      </c>
      <c r="S95" s="834"/>
      <c r="T95" s="835"/>
      <c r="U95" s="835"/>
      <c r="V95" s="835"/>
      <c r="W95" s="835"/>
      <c r="X95" s="835"/>
      <c r="Y95" s="835"/>
      <c r="Z95" s="835"/>
      <c r="AA95" s="835"/>
      <c r="AB95" s="835"/>
      <c r="AC95" s="835"/>
      <c r="AD95" s="835"/>
      <c r="AE95" s="835"/>
      <c r="AF95" s="835"/>
    </row>
    <row r="96" spans="1:32" ht="32.25">
      <c r="A96" s="827" t="s">
        <v>3269</v>
      </c>
      <c r="B96" s="828" t="s">
        <v>4022</v>
      </c>
      <c r="C96" s="828">
        <v>3704885</v>
      </c>
      <c r="D96" s="857" t="s">
        <v>3270</v>
      </c>
      <c r="E96" s="830"/>
      <c r="F96" s="830"/>
      <c r="G96" s="830"/>
      <c r="H96" s="831">
        <v>6</v>
      </c>
      <c r="I96" s="831">
        <v>6</v>
      </c>
      <c r="J96" s="830"/>
      <c r="K96" s="830"/>
      <c r="L96" s="830"/>
      <c r="M96" s="830"/>
      <c r="N96" s="830"/>
      <c r="O96" s="830"/>
      <c r="P96" s="830"/>
      <c r="Q96" s="832">
        <f t="shared" si="1"/>
        <v>12</v>
      </c>
      <c r="R96" s="833"/>
      <c r="S96" s="834"/>
      <c r="T96" s="835"/>
      <c r="U96" s="835"/>
      <c r="V96" s="835"/>
      <c r="W96" s="835"/>
      <c r="X96" s="835"/>
      <c r="Y96" s="835"/>
      <c r="Z96" s="835"/>
      <c r="AA96" s="835"/>
      <c r="AB96" s="835"/>
      <c r="AC96" s="835"/>
      <c r="AD96" s="835"/>
      <c r="AE96" s="835"/>
      <c r="AF96" s="835"/>
    </row>
    <row r="97" spans="1:32" ht="31.5">
      <c r="A97" s="827" t="s">
        <v>3271</v>
      </c>
      <c r="B97" s="828" t="s">
        <v>4022</v>
      </c>
      <c r="C97" s="828" t="s">
        <v>3272</v>
      </c>
      <c r="D97" s="829" t="s">
        <v>3273</v>
      </c>
      <c r="E97" s="830" t="s">
        <v>4794</v>
      </c>
      <c r="F97" s="830" t="s">
        <v>4794</v>
      </c>
      <c r="G97" s="830" t="s">
        <v>4794</v>
      </c>
      <c r="H97" s="830"/>
      <c r="I97" s="830" t="s">
        <v>4794</v>
      </c>
      <c r="J97" s="830" t="s">
        <v>4794</v>
      </c>
      <c r="K97" s="831">
        <v>6</v>
      </c>
      <c r="L97" s="831">
        <v>6</v>
      </c>
      <c r="M97" s="830"/>
      <c r="N97" s="830" t="s">
        <v>4794</v>
      </c>
      <c r="O97" s="830" t="s">
        <v>4794</v>
      </c>
      <c r="P97" s="830" t="s">
        <v>4794</v>
      </c>
      <c r="Q97" s="832">
        <f t="shared" si="1"/>
        <v>12</v>
      </c>
      <c r="R97" s="833" t="s">
        <v>4025</v>
      </c>
      <c r="S97" s="834"/>
      <c r="T97" s="835"/>
      <c r="U97" s="835"/>
      <c r="V97" s="835"/>
      <c r="W97" s="835"/>
      <c r="X97" s="835"/>
      <c r="Y97" s="835"/>
      <c r="Z97" s="835"/>
      <c r="AA97" s="835"/>
      <c r="AB97" s="835"/>
      <c r="AC97" s="835"/>
      <c r="AD97" s="835"/>
      <c r="AE97" s="835"/>
      <c r="AF97" s="835"/>
    </row>
    <row r="98" spans="1:32" ht="42">
      <c r="A98" s="827" t="s">
        <v>3274</v>
      </c>
      <c r="B98" s="828" t="s">
        <v>4022</v>
      </c>
      <c r="C98" s="828" t="s">
        <v>3275</v>
      </c>
      <c r="D98" s="829" t="s">
        <v>3276</v>
      </c>
      <c r="E98" s="830" t="s">
        <v>4794</v>
      </c>
      <c r="F98" s="830" t="s">
        <v>4794</v>
      </c>
      <c r="G98" s="830" t="s">
        <v>4794</v>
      </c>
      <c r="H98" s="830" t="s">
        <v>4794</v>
      </c>
      <c r="I98" s="830" t="s">
        <v>4794</v>
      </c>
      <c r="J98" s="830"/>
      <c r="K98" s="831">
        <v>6</v>
      </c>
      <c r="L98" s="831">
        <v>6</v>
      </c>
      <c r="M98" s="830" t="s">
        <v>4794</v>
      </c>
      <c r="N98" s="830" t="s">
        <v>4794</v>
      </c>
      <c r="O98" s="830" t="s">
        <v>4794</v>
      </c>
      <c r="P98" s="830" t="s">
        <v>4794</v>
      </c>
      <c r="Q98" s="832">
        <f t="shared" si="1"/>
        <v>12</v>
      </c>
      <c r="R98" s="833" t="s">
        <v>4025</v>
      </c>
      <c r="S98" s="834"/>
      <c r="T98" s="835"/>
      <c r="U98" s="835"/>
      <c r="V98" s="835"/>
      <c r="W98" s="835"/>
      <c r="X98" s="835"/>
      <c r="Y98" s="835"/>
      <c r="Z98" s="835"/>
      <c r="AA98" s="835"/>
      <c r="AB98" s="835"/>
      <c r="AC98" s="835"/>
      <c r="AD98" s="835"/>
      <c r="AE98" s="835"/>
      <c r="AF98" s="835"/>
    </row>
    <row r="99" spans="1:32" ht="21">
      <c r="A99" s="827" t="s">
        <v>3277</v>
      </c>
      <c r="B99" s="828" t="s">
        <v>4022</v>
      </c>
      <c r="C99" s="828" t="s">
        <v>3278</v>
      </c>
      <c r="D99" s="829" t="s">
        <v>3279</v>
      </c>
      <c r="E99" s="830" t="s">
        <v>4794</v>
      </c>
      <c r="F99" s="830" t="s">
        <v>4794</v>
      </c>
      <c r="G99" s="830" t="s">
        <v>4794</v>
      </c>
      <c r="H99" s="830" t="s">
        <v>4794</v>
      </c>
      <c r="I99" s="831">
        <v>10</v>
      </c>
      <c r="J99" s="830" t="s">
        <v>4794</v>
      </c>
      <c r="K99" s="830" t="s">
        <v>4794</v>
      </c>
      <c r="L99" s="830" t="s">
        <v>4794</v>
      </c>
      <c r="M99" s="831">
        <v>10</v>
      </c>
      <c r="N99" s="830" t="s">
        <v>4794</v>
      </c>
      <c r="O99" s="830" t="s">
        <v>4794</v>
      </c>
      <c r="P99" s="830" t="s">
        <v>4794</v>
      </c>
      <c r="Q99" s="832">
        <f t="shared" si="1"/>
        <v>20</v>
      </c>
      <c r="R99" s="833" t="s">
        <v>4025</v>
      </c>
      <c r="S99" s="834"/>
      <c r="T99" s="835"/>
      <c r="U99" s="835"/>
      <c r="V99" s="835"/>
      <c r="W99" s="835"/>
      <c r="X99" s="835"/>
      <c r="Y99" s="835"/>
      <c r="Z99" s="835"/>
      <c r="AA99" s="835"/>
      <c r="AB99" s="835"/>
      <c r="AC99" s="835"/>
      <c r="AD99" s="835"/>
      <c r="AE99" s="835"/>
      <c r="AF99" s="835"/>
    </row>
    <row r="100" spans="1:32" ht="21">
      <c r="A100" s="827" t="s">
        <v>3280</v>
      </c>
      <c r="B100" s="828" t="s">
        <v>4022</v>
      </c>
      <c r="C100" s="828" t="s">
        <v>3281</v>
      </c>
      <c r="D100" s="829" t="s">
        <v>3282</v>
      </c>
      <c r="E100" s="830" t="s">
        <v>4794</v>
      </c>
      <c r="F100" s="830" t="s">
        <v>4794</v>
      </c>
      <c r="G100" s="830" t="s">
        <v>4794</v>
      </c>
      <c r="H100" s="830" t="s">
        <v>4794</v>
      </c>
      <c r="I100" s="831">
        <v>10</v>
      </c>
      <c r="J100" s="830" t="s">
        <v>4794</v>
      </c>
      <c r="K100" s="830" t="s">
        <v>4794</v>
      </c>
      <c r="L100" s="830" t="s">
        <v>4794</v>
      </c>
      <c r="M100" s="831">
        <v>10</v>
      </c>
      <c r="N100" s="830" t="s">
        <v>4794</v>
      </c>
      <c r="O100" s="830" t="s">
        <v>4794</v>
      </c>
      <c r="P100" s="830" t="s">
        <v>4794</v>
      </c>
      <c r="Q100" s="832">
        <f t="shared" si="1"/>
        <v>20</v>
      </c>
      <c r="R100" s="833" t="s">
        <v>4025</v>
      </c>
      <c r="S100" s="834"/>
      <c r="T100" s="835"/>
      <c r="U100" s="835"/>
      <c r="V100" s="835"/>
      <c r="W100" s="835"/>
      <c r="X100" s="835"/>
      <c r="Y100" s="835"/>
      <c r="Z100" s="835"/>
      <c r="AA100" s="835"/>
      <c r="AB100" s="835"/>
      <c r="AC100" s="835"/>
      <c r="AD100" s="835"/>
      <c r="AE100" s="835"/>
      <c r="AF100" s="835"/>
    </row>
    <row r="101" spans="1:32" ht="21">
      <c r="A101" s="827" t="s">
        <v>3283</v>
      </c>
      <c r="B101" s="828" t="s">
        <v>4022</v>
      </c>
      <c r="C101" s="828" t="s">
        <v>3284</v>
      </c>
      <c r="D101" s="829" t="s">
        <v>3285</v>
      </c>
      <c r="E101" s="830" t="s">
        <v>4794</v>
      </c>
      <c r="F101" s="830" t="s">
        <v>4794</v>
      </c>
      <c r="G101" s="830" t="s">
        <v>4794</v>
      </c>
      <c r="H101" s="830" t="s">
        <v>4794</v>
      </c>
      <c r="I101" s="831">
        <v>10</v>
      </c>
      <c r="J101" s="830" t="s">
        <v>4794</v>
      </c>
      <c r="K101" s="830" t="s">
        <v>4794</v>
      </c>
      <c r="L101" s="830" t="s">
        <v>4794</v>
      </c>
      <c r="M101" s="831">
        <v>10</v>
      </c>
      <c r="N101" s="830" t="s">
        <v>4794</v>
      </c>
      <c r="O101" s="830" t="s">
        <v>4794</v>
      </c>
      <c r="P101" s="830" t="s">
        <v>4794</v>
      </c>
      <c r="Q101" s="832">
        <f t="shared" si="1"/>
        <v>20</v>
      </c>
      <c r="R101" s="833" t="s">
        <v>4025</v>
      </c>
      <c r="S101" s="834"/>
      <c r="T101" s="835"/>
      <c r="U101" s="835"/>
      <c r="V101" s="835"/>
      <c r="W101" s="835"/>
      <c r="X101" s="835"/>
      <c r="Y101" s="835"/>
      <c r="Z101" s="835"/>
      <c r="AA101" s="835"/>
      <c r="AB101" s="835"/>
      <c r="AC101" s="835"/>
      <c r="AD101" s="835"/>
      <c r="AE101" s="835"/>
      <c r="AF101" s="835"/>
    </row>
    <row r="102" spans="1:32" ht="31.5">
      <c r="A102" s="827" t="s">
        <v>3286</v>
      </c>
      <c r="B102" s="828" t="s">
        <v>4022</v>
      </c>
      <c r="C102" s="828" t="s">
        <v>3287</v>
      </c>
      <c r="D102" s="829" t="s">
        <v>3288</v>
      </c>
      <c r="E102" s="830" t="s">
        <v>4794</v>
      </c>
      <c r="F102" s="830" t="s">
        <v>4794</v>
      </c>
      <c r="G102" s="830" t="s">
        <v>4794</v>
      </c>
      <c r="H102" s="831">
        <v>20</v>
      </c>
      <c r="I102" s="830" t="s">
        <v>4794</v>
      </c>
      <c r="J102" s="830" t="s">
        <v>4794</v>
      </c>
      <c r="K102" s="830" t="s">
        <v>4794</v>
      </c>
      <c r="L102" s="830" t="s">
        <v>4794</v>
      </c>
      <c r="M102" s="830" t="s">
        <v>4794</v>
      </c>
      <c r="N102" s="830" t="s">
        <v>4794</v>
      </c>
      <c r="O102" s="830" t="s">
        <v>4794</v>
      </c>
      <c r="P102" s="830" t="s">
        <v>4794</v>
      </c>
      <c r="Q102" s="832">
        <f t="shared" si="1"/>
        <v>20</v>
      </c>
      <c r="R102" s="833" t="s">
        <v>4025</v>
      </c>
      <c r="S102" s="834"/>
      <c r="T102" s="835"/>
      <c r="U102" s="835"/>
      <c r="V102" s="835"/>
      <c r="W102" s="835"/>
      <c r="X102" s="835"/>
      <c r="Y102" s="835"/>
      <c r="Z102" s="835"/>
      <c r="AA102" s="835"/>
      <c r="AB102" s="835"/>
      <c r="AC102" s="835"/>
      <c r="AD102" s="835"/>
      <c r="AE102" s="835"/>
      <c r="AF102" s="835"/>
    </row>
    <row r="103" spans="1:32" ht="31.5">
      <c r="A103" s="827" t="s">
        <v>3289</v>
      </c>
      <c r="B103" s="828" t="s">
        <v>4022</v>
      </c>
      <c r="C103" s="828" t="s">
        <v>3290</v>
      </c>
      <c r="D103" s="829" t="s">
        <v>3291</v>
      </c>
      <c r="E103" s="830" t="s">
        <v>4794</v>
      </c>
      <c r="F103" s="830" t="s">
        <v>4794</v>
      </c>
      <c r="G103" s="830" t="s">
        <v>4794</v>
      </c>
      <c r="H103" s="831">
        <v>20</v>
      </c>
      <c r="I103" s="830" t="s">
        <v>4794</v>
      </c>
      <c r="J103" s="830" t="s">
        <v>4794</v>
      </c>
      <c r="K103" s="830" t="s">
        <v>4794</v>
      </c>
      <c r="L103" s="830" t="s">
        <v>4794</v>
      </c>
      <c r="M103" s="830" t="s">
        <v>4794</v>
      </c>
      <c r="N103" s="830" t="s">
        <v>4794</v>
      </c>
      <c r="O103" s="830" t="s">
        <v>4794</v>
      </c>
      <c r="P103" s="830" t="s">
        <v>4794</v>
      </c>
      <c r="Q103" s="832">
        <f t="shared" si="1"/>
        <v>20</v>
      </c>
      <c r="R103" s="833" t="s">
        <v>4025</v>
      </c>
      <c r="S103" s="836"/>
      <c r="T103" s="852"/>
      <c r="U103" s="852"/>
      <c r="V103" s="852"/>
      <c r="W103" s="852"/>
      <c r="X103" s="852"/>
      <c r="Y103" s="852"/>
      <c r="Z103" s="852"/>
      <c r="AA103" s="852"/>
      <c r="AB103" s="852"/>
      <c r="AC103" s="852"/>
      <c r="AD103" s="852"/>
      <c r="AE103" s="852"/>
      <c r="AF103" s="835"/>
    </row>
    <row r="104" spans="1:32" ht="31.5">
      <c r="A104" s="827" t="s">
        <v>3292</v>
      </c>
      <c r="B104" s="828" t="s">
        <v>4022</v>
      </c>
      <c r="C104" s="828" t="s">
        <v>3293</v>
      </c>
      <c r="D104" s="829" t="s">
        <v>3294</v>
      </c>
      <c r="E104" s="830" t="s">
        <v>4794</v>
      </c>
      <c r="F104" s="830" t="s">
        <v>4794</v>
      </c>
      <c r="G104" s="830" t="s">
        <v>4794</v>
      </c>
      <c r="H104" s="831">
        <v>20</v>
      </c>
      <c r="I104" s="830" t="s">
        <v>4794</v>
      </c>
      <c r="J104" s="830" t="s">
        <v>4794</v>
      </c>
      <c r="K104" s="830" t="s">
        <v>4794</v>
      </c>
      <c r="L104" s="830" t="s">
        <v>4794</v>
      </c>
      <c r="M104" s="830" t="s">
        <v>4794</v>
      </c>
      <c r="N104" s="830" t="s">
        <v>4794</v>
      </c>
      <c r="O104" s="830" t="s">
        <v>4794</v>
      </c>
      <c r="P104" s="830" t="s">
        <v>4794</v>
      </c>
      <c r="Q104" s="832">
        <f t="shared" si="1"/>
        <v>20</v>
      </c>
      <c r="R104" s="833" t="s">
        <v>4025</v>
      </c>
      <c r="S104" s="834"/>
      <c r="T104" s="835"/>
      <c r="U104" s="835"/>
      <c r="V104" s="835"/>
      <c r="W104" s="835"/>
      <c r="X104" s="835"/>
      <c r="Y104" s="835"/>
      <c r="Z104" s="835"/>
      <c r="AA104" s="835"/>
      <c r="AB104" s="835"/>
      <c r="AC104" s="835"/>
      <c r="AD104" s="835"/>
      <c r="AE104" s="835"/>
      <c r="AF104" s="835"/>
    </row>
    <row r="105" spans="1:32" ht="31.5">
      <c r="A105" s="827" t="s">
        <v>3295</v>
      </c>
      <c r="B105" s="828" t="s">
        <v>4022</v>
      </c>
      <c r="C105" s="828" t="s">
        <v>3296</v>
      </c>
      <c r="D105" s="829" t="s">
        <v>3297</v>
      </c>
      <c r="E105" s="830" t="s">
        <v>4794</v>
      </c>
      <c r="F105" s="830" t="s">
        <v>4794</v>
      </c>
      <c r="G105" s="831">
        <v>20</v>
      </c>
      <c r="H105" s="830" t="s">
        <v>4794</v>
      </c>
      <c r="I105" s="830"/>
      <c r="J105" s="830" t="s">
        <v>4794</v>
      </c>
      <c r="K105" s="831">
        <v>20</v>
      </c>
      <c r="L105" s="830" t="s">
        <v>4794</v>
      </c>
      <c r="M105" s="830" t="s">
        <v>4794</v>
      </c>
      <c r="N105" s="830" t="s">
        <v>4794</v>
      </c>
      <c r="O105" s="830" t="s">
        <v>4794</v>
      </c>
      <c r="P105" s="830" t="s">
        <v>4794</v>
      </c>
      <c r="Q105" s="832">
        <f t="shared" si="1"/>
        <v>40</v>
      </c>
      <c r="R105" s="833" t="s">
        <v>4025</v>
      </c>
      <c r="S105" s="834"/>
      <c r="T105" s="835"/>
      <c r="U105" s="835"/>
      <c r="V105" s="835"/>
      <c r="W105" s="835"/>
      <c r="X105" s="835"/>
      <c r="Y105" s="835"/>
      <c r="Z105" s="835"/>
      <c r="AA105" s="835"/>
      <c r="AB105" s="835"/>
      <c r="AC105" s="835"/>
      <c r="AD105" s="835"/>
      <c r="AE105" s="835"/>
      <c r="AF105" s="835"/>
    </row>
    <row r="106" spans="1:32" ht="31.5">
      <c r="A106" s="827" t="s">
        <v>3298</v>
      </c>
      <c r="B106" s="828" t="s">
        <v>4022</v>
      </c>
      <c r="C106" s="828" t="s">
        <v>3299</v>
      </c>
      <c r="D106" s="829" t="s">
        <v>3300</v>
      </c>
      <c r="E106" s="830" t="s">
        <v>4794</v>
      </c>
      <c r="F106" s="830" t="s">
        <v>4794</v>
      </c>
      <c r="G106" s="831">
        <v>20</v>
      </c>
      <c r="H106" s="830" t="s">
        <v>4794</v>
      </c>
      <c r="I106" s="830"/>
      <c r="J106" s="830" t="s">
        <v>4794</v>
      </c>
      <c r="K106" s="831">
        <v>20</v>
      </c>
      <c r="L106" s="830" t="s">
        <v>4794</v>
      </c>
      <c r="M106" s="830" t="s">
        <v>4794</v>
      </c>
      <c r="N106" s="830" t="s">
        <v>4794</v>
      </c>
      <c r="O106" s="830" t="s">
        <v>4794</v>
      </c>
      <c r="P106" s="830" t="s">
        <v>4794</v>
      </c>
      <c r="Q106" s="832">
        <f t="shared" si="1"/>
        <v>40</v>
      </c>
      <c r="R106" s="833" t="s">
        <v>4025</v>
      </c>
      <c r="S106" s="836"/>
      <c r="T106" s="852"/>
      <c r="U106" s="852"/>
      <c r="V106" s="852"/>
      <c r="W106" s="852"/>
      <c r="X106" s="852"/>
      <c r="Y106" s="852"/>
      <c r="Z106" s="852"/>
      <c r="AA106" s="852"/>
      <c r="AB106" s="852"/>
      <c r="AC106" s="852"/>
      <c r="AD106" s="852"/>
      <c r="AE106" s="852"/>
      <c r="AF106" s="835"/>
    </row>
    <row r="107" spans="1:32" ht="31.5">
      <c r="A107" s="827" t="s">
        <v>3301</v>
      </c>
      <c r="B107" s="828" t="s">
        <v>4022</v>
      </c>
      <c r="C107" s="828" t="s">
        <v>3302</v>
      </c>
      <c r="D107" s="829" t="s">
        <v>3303</v>
      </c>
      <c r="E107" s="830" t="s">
        <v>4794</v>
      </c>
      <c r="F107" s="830" t="s">
        <v>4794</v>
      </c>
      <c r="G107" s="831">
        <v>20</v>
      </c>
      <c r="H107" s="830" t="s">
        <v>4794</v>
      </c>
      <c r="I107" s="830"/>
      <c r="J107" s="830" t="s">
        <v>4794</v>
      </c>
      <c r="K107" s="831">
        <v>20</v>
      </c>
      <c r="L107" s="830" t="s">
        <v>4794</v>
      </c>
      <c r="M107" s="830" t="s">
        <v>4794</v>
      </c>
      <c r="N107" s="830" t="s">
        <v>4794</v>
      </c>
      <c r="O107" s="830" t="s">
        <v>4794</v>
      </c>
      <c r="P107" s="830" t="s">
        <v>4794</v>
      </c>
      <c r="Q107" s="832">
        <f t="shared" si="1"/>
        <v>40</v>
      </c>
      <c r="R107" s="833" t="s">
        <v>4025</v>
      </c>
      <c r="S107" s="834"/>
      <c r="T107" s="835"/>
      <c r="U107" s="835"/>
      <c r="V107" s="835"/>
      <c r="W107" s="835"/>
      <c r="X107" s="835"/>
      <c r="Y107" s="835"/>
      <c r="Z107" s="835"/>
      <c r="AA107" s="835"/>
      <c r="AB107" s="835"/>
      <c r="AC107" s="835"/>
      <c r="AD107" s="835"/>
      <c r="AE107" s="835"/>
      <c r="AF107" s="835"/>
    </row>
    <row r="108" spans="1:32" ht="52.5">
      <c r="A108" s="827" t="s">
        <v>3304</v>
      </c>
      <c r="B108" s="828" t="s">
        <v>4022</v>
      </c>
      <c r="C108" s="828" t="s">
        <v>3305</v>
      </c>
      <c r="D108" s="829" t="s">
        <v>3306</v>
      </c>
      <c r="E108" s="830" t="s">
        <v>4794</v>
      </c>
      <c r="F108" s="831">
        <v>1</v>
      </c>
      <c r="G108" s="830" t="s">
        <v>4794</v>
      </c>
      <c r="H108" s="830" t="s">
        <v>4794</v>
      </c>
      <c r="I108" s="830" t="s">
        <v>4794</v>
      </c>
      <c r="J108" s="830" t="s">
        <v>4794</v>
      </c>
      <c r="K108" s="830" t="s">
        <v>4794</v>
      </c>
      <c r="L108" s="830" t="s">
        <v>4794</v>
      </c>
      <c r="M108" s="831">
        <v>1</v>
      </c>
      <c r="N108" s="830"/>
      <c r="O108" s="830" t="s">
        <v>4794</v>
      </c>
      <c r="P108" s="830" t="s">
        <v>4794</v>
      </c>
      <c r="Q108" s="832">
        <f t="shared" si="1"/>
        <v>2</v>
      </c>
      <c r="R108" s="833" t="s">
        <v>4025</v>
      </c>
      <c r="S108" s="834"/>
      <c r="T108" s="835"/>
      <c r="U108" s="835"/>
      <c r="V108" s="835"/>
      <c r="W108" s="835"/>
      <c r="X108" s="835"/>
      <c r="Y108" s="835"/>
      <c r="Z108" s="835"/>
      <c r="AA108" s="835"/>
      <c r="AB108" s="835"/>
      <c r="AC108" s="835"/>
      <c r="AD108" s="835"/>
      <c r="AE108" s="835"/>
      <c r="AF108" s="835"/>
    </row>
    <row r="109" spans="1:32" ht="63">
      <c r="A109" s="827" t="s">
        <v>3307</v>
      </c>
      <c r="B109" s="828" t="s">
        <v>4022</v>
      </c>
      <c r="C109" s="828" t="s">
        <v>3308</v>
      </c>
      <c r="D109" s="829" t="s">
        <v>3309</v>
      </c>
      <c r="E109" s="830" t="s">
        <v>4794</v>
      </c>
      <c r="F109" s="830" t="s">
        <v>4794</v>
      </c>
      <c r="G109" s="830" t="s">
        <v>4794</v>
      </c>
      <c r="H109" s="830" t="s">
        <v>4794</v>
      </c>
      <c r="I109" s="831">
        <v>1</v>
      </c>
      <c r="J109" s="830"/>
      <c r="K109" s="830"/>
      <c r="L109" s="830" t="s">
        <v>4794</v>
      </c>
      <c r="M109" s="830" t="s">
        <v>4794</v>
      </c>
      <c r="N109" s="830" t="s">
        <v>4794</v>
      </c>
      <c r="O109" s="830" t="s">
        <v>4794</v>
      </c>
      <c r="P109" s="830" t="s">
        <v>4794</v>
      </c>
      <c r="Q109" s="832">
        <f t="shared" si="1"/>
        <v>1</v>
      </c>
      <c r="R109" s="833" t="s">
        <v>4025</v>
      </c>
      <c r="S109" s="836"/>
      <c r="T109" s="852"/>
      <c r="U109" s="852"/>
      <c r="V109" s="852"/>
      <c r="W109" s="852"/>
      <c r="X109" s="852"/>
      <c r="Y109" s="852"/>
      <c r="Z109" s="852"/>
      <c r="AA109" s="852"/>
      <c r="AB109" s="852"/>
      <c r="AC109" s="852"/>
      <c r="AD109" s="852"/>
      <c r="AE109" s="852"/>
      <c r="AF109" s="835"/>
    </row>
    <row r="110" spans="1:32" ht="63">
      <c r="A110" s="827" t="s">
        <v>3310</v>
      </c>
      <c r="B110" s="828" t="s">
        <v>4022</v>
      </c>
      <c r="C110" s="828" t="s">
        <v>3311</v>
      </c>
      <c r="D110" s="829" t="s">
        <v>3312</v>
      </c>
      <c r="E110" s="830" t="s">
        <v>4794</v>
      </c>
      <c r="F110" s="830" t="s">
        <v>4794</v>
      </c>
      <c r="G110" s="831">
        <v>1</v>
      </c>
      <c r="H110" s="830" t="s">
        <v>4794</v>
      </c>
      <c r="I110" s="831">
        <v>4</v>
      </c>
      <c r="J110" s="830" t="s">
        <v>4794</v>
      </c>
      <c r="K110" s="830" t="s">
        <v>4794</v>
      </c>
      <c r="L110" s="830" t="s">
        <v>4794</v>
      </c>
      <c r="M110" s="830" t="s">
        <v>4794</v>
      </c>
      <c r="N110" s="830" t="s">
        <v>4794</v>
      </c>
      <c r="O110" s="830" t="s">
        <v>4794</v>
      </c>
      <c r="P110" s="830" t="s">
        <v>4794</v>
      </c>
      <c r="Q110" s="832">
        <f t="shared" si="1"/>
        <v>5</v>
      </c>
      <c r="R110" s="833" t="s">
        <v>4025</v>
      </c>
      <c r="S110" s="834"/>
      <c r="T110" s="835"/>
      <c r="U110" s="835"/>
      <c r="V110" s="835"/>
      <c r="W110" s="835"/>
      <c r="X110" s="835"/>
      <c r="Y110" s="835"/>
      <c r="Z110" s="835"/>
      <c r="AA110" s="835"/>
      <c r="AB110" s="835"/>
      <c r="AC110" s="835"/>
      <c r="AD110" s="835"/>
      <c r="AE110" s="835"/>
      <c r="AF110" s="835"/>
    </row>
    <row r="111" spans="1:32" ht="63">
      <c r="A111" s="827" t="s">
        <v>3313</v>
      </c>
      <c r="B111" s="828" t="s">
        <v>4022</v>
      </c>
      <c r="C111" s="828" t="s">
        <v>3314</v>
      </c>
      <c r="D111" s="829" t="s">
        <v>3315</v>
      </c>
      <c r="E111" s="830" t="s">
        <v>4794</v>
      </c>
      <c r="F111" s="830" t="s">
        <v>4794</v>
      </c>
      <c r="G111" s="831">
        <v>1</v>
      </c>
      <c r="H111" s="830" t="s">
        <v>4794</v>
      </c>
      <c r="I111" s="831">
        <v>4</v>
      </c>
      <c r="J111" s="830" t="s">
        <v>4794</v>
      </c>
      <c r="K111" s="830" t="s">
        <v>4794</v>
      </c>
      <c r="L111" s="830" t="s">
        <v>4794</v>
      </c>
      <c r="M111" s="830" t="s">
        <v>4794</v>
      </c>
      <c r="N111" s="830" t="s">
        <v>4794</v>
      </c>
      <c r="O111" s="830" t="s">
        <v>4794</v>
      </c>
      <c r="P111" s="830" t="s">
        <v>4794</v>
      </c>
      <c r="Q111" s="832">
        <f t="shared" si="1"/>
        <v>5</v>
      </c>
      <c r="R111" s="833" t="s">
        <v>4025</v>
      </c>
      <c r="S111" s="834"/>
      <c r="T111" s="835"/>
      <c r="U111" s="835"/>
      <c r="V111" s="835"/>
      <c r="W111" s="835"/>
      <c r="X111" s="835"/>
      <c r="Y111" s="835"/>
      <c r="Z111" s="835"/>
      <c r="AA111" s="835"/>
      <c r="AB111" s="835"/>
      <c r="AC111" s="835"/>
      <c r="AD111" s="835"/>
      <c r="AE111" s="835"/>
      <c r="AF111" s="835"/>
    </row>
    <row r="112" spans="1:32" ht="52.5">
      <c r="A112" s="827" t="s">
        <v>3316</v>
      </c>
      <c r="B112" s="828" t="s">
        <v>4022</v>
      </c>
      <c r="C112" s="828" t="s">
        <v>3317</v>
      </c>
      <c r="D112" s="829" t="s">
        <v>3318</v>
      </c>
      <c r="E112" s="830" t="s">
        <v>4794</v>
      </c>
      <c r="F112" s="830" t="s">
        <v>4794</v>
      </c>
      <c r="G112" s="830" t="s">
        <v>4794</v>
      </c>
      <c r="H112" s="831">
        <v>1</v>
      </c>
      <c r="I112" s="831">
        <v>1</v>
      </c>
      <c r="J112" s="831">
        <v>1</v>
      </c>
      <c r="K112" s="831">
        <v>1</v>
      </c>
      <c r="L112" s="831">
        <v>1</v>
      </c>
      <c r="M112" s="830" t="s">
        <v>4794</v>
      </c>
      <c r="N112" s="830"/>
      <c r="O112" s="830" t="s">
        <v>4794</v>
      </c>
      <c r="P112" s="830" t="s">
        <v>4794</v>
      </c>
      <c r="Q112" s="832">
        <f t="shared" si="1"/>
        <v>5</v>
      </c>
      <c r="R112" s="833" t="s">
        <v>4025</v>
      </c>
      <c r="S112" s="834"/>
      <c r="T112" s="835"/>
      <c r="U112" s="835"/>
      <c r="V112" s="835"/>
      <c r="W112" s="835"/>
      <c r="X112" s="835"/>
      <c r="Y112" s="835"/>
      <c r="Z112" s="835"/>
      <c r="AA112" s="835"/>
      <c r="AB112" s="835"/>
      <c r="AC112" s="835"/>
      <c r="AD112" s="835"/>
      <c r="AE112" s="835"/>
      <c r="AF112" s="835"/>
    </row>
    <row r="113" spans="1:32" ht="52.5">
      <c r="A113" s="827" t="s">
        <v>3319</v>
      </c>
      <c r="B113" s="828" t="s">
        <v>4022</v>
      </c>
      <c r="C113" s="828" t="s">
        <v>3320</v>
      </c>
      <c r="D113" s="829" t="s">
        <v>3321</v>
      </c>
      <c r="E113" s="830" t="s">
        <v>4794</v>
      </c>
      <c r="F113" s="830" t="s">
        <v>4794</v>
      </c>
      <c r="G113" s="831">
        <v>1</v>
      </c>
      <c r="H113" s="830" t="s">
        <v>4794</v>
      </c>
      <c r="I113" s="831">
        <v>1</v>
      </c>
      <c r="J113" s="830" t="s">
        <v>4794</v>
      </c>
      <c r="K113" s="830" t="s">
        <v>4794</v>
      </c>
      <c r="L113" s="830"/>
      <c r="M113" s="830" t="s">
        <v>4794</v>
      </c>
      <c r="N113" s="830" t="s">
        <v>4794</v>
      </c>
      <c r="O113" s="831">
        <v>1</v>
      </c>
      <c r="P113" s="830" t="s">
        <v>4794</v>
      </c>
      <c r="Q113" s="832">
        <f t="shared" si="1"/>
        <v>3</v>
      </c>
      <c r="R113" s="833" t="s">
        <v>4025</v>
      </c>
      <c r="S113" s="834"/>
      <c r="T113" s="835"/>
      <c r="U113" s="835"/>
      <c r="V113" s="835"/>
      <c r="W113" s="835"/>
      <c r="X113" s="835"/>
      <c r="Y113" s="835"/>
      <c r="Z113" s="835"/>
      <c r="AA113" s="835"/>
      <c r="AB113" s="835"/>
      <c r="AC113" s="835"/>
      <c r="AD113" s="835"/>
      <c r="AE113" s="835"/>
      <c r="AF113" s="835"/>
    </row>
    <row r="114" spans="1:32" ht="42">
      <c r="A114" s="827" t="s">
        <v>3322</v>
      </c>
      <c r="B114" s="828" t="s">
        <v>4022</v>
      </c>
      <c r="C114" s="828" t="s">
        <v>3323</v>
      </c>
      <c r="D114" s="829" t="s">
        <v>3324</v>
      </c>
      <c r="E114" s="830" t="s">
        <v>4794</v>
      </c>
      <c r="F114" s="830" t="s">
        <v>4794</v>
      </c>
      <c r="G114" s="831">
        <v>1</v>
      </c>
      <c r="H114" s="830" t="s">
        <v>4794</v>
      </c>
      <c r="I114" s="830" t="s">
        <v>4794</v>
      </c>
      <c r="J114" s="830" t="s">
        <v>4794</v>
      </c>
      <c r="K114" s="830" t="s">
        <v>4794</v>
      </c>
      <c r="L114" s="830" t="s">
        <v>4794</v>
      </c>
      <c r="M114" s="830" t="s">
        <v>4794</v>
      </c>
      <c r="N114" s="830" t="s">
        <v>4794</v>
      </c>
      <c r="O114" s="830" t="s">
        <v>4794</v>
      </c>
      <c r="P114" s="830" t="s">
        <v>4794</v>
      </c>
      <c r="Q114" s="832">
        <f t="shared" si="1"/>
        <v>1</v>
      </c>
      <c r="R114" s="833" t="s">
        <v>4025</v>
      </c>
      <c r="S114" s="834"/>
      <c r="T114" s="835"/>
      <c r="U114" s="835"/>
      <c r="V114" s="835"/>
      <c r="W114" s="835"/>
      <c r="X114" s="835"/>
      <c r="Y114" s="835"/>
      <c r="Z114" s="835"/>
      <c r="AA114" s="835"/>
      <c r="AB114" s="835"/>
      <c r="AC114" s="835"/>
      <c r="AD114" s="835"/>
      <c r="AE114" s="835"/>
      <c r="AF114" s="835"/>
    </row>
    <row r="115" spans="1:32" ht="21">
      <c r="A115" s="827" t="s">
        <v>3325</v>
      </c>
      <c r="B115" s="828" t="s">
        <v>4022</v>
      </c>
      <c r="C115" s="828" t="s">
        <v>3326</v>
      </c>
      <c r="D115" s="829" t="s">
        <v>3327</v>
      </c>
      <c r="E115" s="830" t="s">
        <v>4794</v>
      </c>
      <c r="F115" s="830" t="s">
        <v>4794</v>
      </c>
      <c r="G115" s="830" t="s">
        <v>4794</v>
      </c>
      <c r="H115" s="831">
        <v>10</v>
      </c>
      <c r="I115" s="830" t="s">
        <v>4794</v>
      </c>
      <c r="J115" s="830" t="s">
        <v>4794</v>
      </c>
      <c r="K115" s="830" t="s">
        <v>4794</v>
      </c>
      <c r="L115" s="830" t="s">
        <v>4794</v>
      </c>
      <c r="M115" s="830" t="s">
        <v>4794</v>
      </c>
      <c r="N115" s="830" t="s">
        <v>4794</v>
      </c>
      <c r="O115" s="830" t="s">
        <v>4794</v>
      </c>
      <c r="P115" s="830" t="s">
        <v>4794</v>
      </c>
      <c r="Q115" s="832">
        <f t="shared" si="1"/>
        <v>10</v>
      </c>
      <c r="R115" s="833" t="s">
        <v>4025</v>
      </c>
      <c r="S115" s="834"/>
      <c r="T115" s="835"/>
      <c r="U115" s="835"/>
      <c r="V115" s="835"/>
      <c r="W115" s="835"/>
      <c r="X115" s="835"/>
      <c r="Y115" s="835"/>
      <c r="Z115" s="835"/>
      <c r="AA115" s="835"/>
      <c r="AB115" s="835"/>
      <c r="AC115" s="835"/>
      <c r="AD115" s="835"/>
      <c r="AE115" s="835"/>
      <c r="AF115" s="835"/>
    </row>
    <row r="116" spans="1:32" ht="31.5">
      <c r="A116" s="827" t="s">
        <v>3328</v>
      </c>
      <c r="B116" s="828" t="s">
        <v>4022</v>
      </c>
      <c r="C116" s="828" t="s">
        <v>3329</v>
      </c>
      <c r="D116" s="829" t="s">
        <v>3330</v>
      </c>
      <c r="E116" s="830" t="s">
        <v>4794</v>
      </c>
      <c r="F116" s="830" t="s">
        <v>4794</v>
      </c>
      <c r="G116" s="830"/>
      <c r="H116" s="830" t="s">
        <v>4794</v>
      </c>
      <c r="I116" s="830"/>
      <c r="J116" s="830"/>
      <c r="K116" s="831">
        <v>1</v>
      </c>
      <c r="L116" s="830" t="s">
        <v>4794</v>
      </c>
      <c r="M116" s="830" t="s">
        <v>4794</v>
      </c>
      <c r="N116" s="830" t="s">
        <v>4794</v>
      </c>
      <c r="O116" s="830" t="s">
        <v>4794</v>
      </c>
      <c r="P116" s="830" t="s">
        <v>4794</v>
      </c>
      <c r="Q116" s="832">
        <f t="shared" si="1"/>
        <v>1</v>
      </c>
      <c r="R116" s="833" t="s">
        <v>4025</v>
      </c>
      <c r="S116" s="836"/>
      <c r="T116" s="852"/>
      <c r="U116" s="852"/>
      <c r="V116" s="852"/>
      <c r="W116" s="852"/>
      <c r="X116" s="852"/>
      <c r="Y116" s="852"/>
      <c r="Z116" s="852"/>
      <c r="AA116" s="852"/>
      <c r="AB116" s="852"/>
      <c r="AC116" s="852"/>
      <c r="AD116" s="852"/>
      <c r="AE116" s="852"/>
      <c r="AF116" s="835"/>
    </row>
    <row r="117" spans="1:32" ht="31.5">
      <c r="A117" s="827" t="s">
        <v>3331</v>
      </c>
      <c r="B117" s="828" t="s">
        <v>4022</v>
      </c>
      <c r="C117" s="828" t="s">
        <v>3332</v>
      </c>
      <c r="D117" s="829" t="s">
        <v>3333</v>
      </c>
      <c r="E117" s="830" t="s">
        <v>4794</v>
      </c>
      <c r="F117" s="830"/>
      <c r="G117" s="830" t="s">
        <v>4794</v>
      </c>
      <c r="H117" s="830" t="s">
        <v>4794</v>
      </c>
      <c r="I117" s="830" t="s">
        <v>4794</v>
      </c>
      <c r="J117" s="830" t="s">
        <v>4794</v>
      </c>
      <c r="K117" s="830" t="s">
        <v>4794</v>
      </c>
      <c r="L117" s="831">
        <v>1</v>
      </c>
      <c r="M117" s="830" t="s">
        <v>4794</v>
      </c>
      <c r="N117" s="830" t="s">
        <v>4794</v>
      </c>
      <c r="O117" s="830" t="s">
        <v>4794</v>
      </c>
      <c r="P117" s="830"/>
      <c r="Q117" s="832">
        <f t="shared" si="1"/>
        <v>1</v>
      </c>
      <c r="R117" s="833" t="s">
        <v>4025</v>
      </c>
      <c r="S117" s="834"/>
      <c r="T117" s="835"/>
      <c r="U117" s="835"/>
      <c r="V117" s="835"/>
      <c r="W117" s="835"/>
      <c r="X117" s="835"/>
      <c r="Y117" s="835"/>
      <c r="Z117" s="835"/>
      <c r="AA117" s="835"/>
      <c r="AB117" s="835"/>
      <c r="AC117" s="835"/>
      <c r="AD117" s="835"/>
      <c r="AE117" s="835"/>
      <c r="AF117" s="835"/>
    </row>
    <row r="118" spans="1:32" ht="31.5">
      <c r="A118" s="827" t="s">
        <v>3334</v>
      </c>
      <c r="B118" s="828" t="s">
        <v>4022</v>
      </c>
      <c r="C118" s="828" t="s">
        <v>3335</v>
      </c>
      <c r="D118" s="829" t="s">
        <v>3336</v>
      </c>
      <c r="E118" s="830"/>
      <c r="F118" s="830" t="s">
        <v>4794</v>
      </c>
      <c r="G118" s="830"/>
      <c r="H118" s="830" t="s">
        <v>4794</v>
      </c>
      <c r="I118" s="830" t="s">
        <v>4794</v>
      </c>
      <c r="J118" s="830" t="s">
        <v>4794</v>
      </c>
      <c r="K118" s="830" t="s">
        <v>4794</v>
      </c>
      <c r="L118" s="831">
        <v>1</v>
      </c>
      <c r="M118" s="830" t="s">
        <v>4794</v>
      </c>
      <c r="N118" s="830" t="s">
        <v>4794</v>
      </c>
      <c r="O118" s="830" t="s">
        <v>4794</v>
      </c>
      <c r="P118" s="830"/>
      <c r="Q118" s="832">
        <f t="shared" si="1"/>
        <v>1</v>
      </c>
      <c r="R118" s="833" t="s">
        <v>4025</v>
      </c>
      <c r="S118" s="834"/>
      <c r="T118" s="835"/>
      <c r="U118" s="835"/>
      <c r="V118" s="835"/>
      <c r="W118" s="835"/>
      <c r="X118" s="835"/>
      <c r="Y118" s="835"/>
      <c r="Z118" s="835"/>
      <c r="AA118" s="835"/>
      <c r="AB118" s="835"/>
      <c r="AC118" s="835"/>
      <c r="AD118" s="835"/>
      <c r="AE118" s="835"/>
      <c r="AF118" s="835"/>
    </row>
    <row r="119" spans="1:32" ht="31.5">
      <c r="A119" s="827" t="s">
        <v>3337</v>
      </c>
      <c r="B119" s="828" t="s">
        <v>4022</v>
      </c>
      <c r="C119" s="828" t="s">
        <v>3338</v>
      </c>
      <c r="D119" s="829" t="s">
        <v>3339</v>
      </c>
      <c r="E119" s="830" t="s">
        <v>4794</v>
      </c>
      <c r="F119" s="830" t="s">
        <v>4794</v>
      </c>
      <c r="G119" s="830" t="s">
        <v>4794</v>
      </c>
      <c r="H119" s="830"/>
      <c r="I119" s="830" t="s">
        <v>4794</v>
      </c>
      <c r="J119" s="830"/>
      <c r="K119" s="831">
        <v>1</v>
      </c>
      <c r="L119" s="830" t="s">
        <v>4794</v>
      </c>
      <c r="M119" s="830" t="s">
        <v>4794</v>
      </c>
      <c r="N119" s="830" t="s">
        <v>4794</v>
      </c>
      <c r="O119" s="830" t="s">
        <v>4794</v>
      </c>
      <c r="P119" s="830" t="s">
        <v>4794</v>
      </c>
      <c r="Q119" s="832">
        <f t="shared" si="1"/>
        <v>1</v>
      </c>
      <c r="R119" s="833" t="s">
        <v>4025</v>
      </c>
      <c r="S119" s="834"/>
      <c r="T119" s="835"/>
      <c r="U119" s="835"/>
      <c r="V119" s="835"/>
      <c r="W119" s="835"/>
      <c r="X119" s="835"/>
      <c r="Y119" s="835"/>
      <c r="Z119" s="835"/>
      <c r="AA119" s="835"/>
      <c r="AB119" s="835"/>
      <c r="AC119" s="835"/>
      <c r="AD119" s="835"/>
      <c r="AE119" s="835"/>
      <c r="AF119" s="835"/>
    </row>
    <row r="120" spans="1:32" ht="52.5">
      <c r="A120" s="827" t="s">
        <v>3340</v>
      </c>
      <c r="B120" s="828" t="s">
        <v>4022</v>
      </c>
      <c r="C120" s="828" t="s">
        <v>3341</v>
      </c>
      <c r="D120" s="829" t="s">
        <v>3342</v>
      </c>
      <c r="E120" s="830" t="s">
        <v>4794</v>
      </c>
      <c r="F120" s="830" t="s">
        <v>4794</v>
      </c>
      <c r="G120" s="830" t="s">
        <v>4794</v>
      </c>
      <c r="H120" s="830" t="s">
        <v>4794</v>
      </c>
      <c r="I120" s="830"/>
      <c r="J120" s="830" t="s">
        <v>4794</v>
      </c>
      <c r="K120" s="830" t="s">
        <v>4794</v>
      </c>
      <c r="L120" s="831">
        <v>1</v>
      </c>
      <c r="M120" s="830"/>
      <c r="N120" s="830" t="s">
        <v>4794</v>
      </c>
      <c r="O120" s="830" t="s">
        <v>4794</v>
      </c>
      <c r="P120" s="830" t="s">
        <v>4794</v>
      </c>
      <c r="Q120" s="832">
        <f t="shared" si="1"/>
        <v>1</v>
      </c>
      <c r="R120" s="833" t="s">
        <v>4025</v>
      </c>
      <c r="S120" s="834"/>
      <c r="T120" s="835"/>
      <c r="U120" s="835"/>
      <c r="V120" s="835"/>
      <c r="W120" s="835"/>
      <c r="X120" s="835"/>
      <c r="Y120" s="835"/>
      <c r="Z120" s="835"/>
      <c r="AA120" s="835"/>
      <c r="AB120" s="835"/>
      <c r="AC120" s="835"/>
      <c r="AD120" s="835"/>
      <c r="AE120" s="835"/>
      <c r="AF120" s="835"/>
    </row>
    <row r="121" spans="1:32" ht="52.5">
      <c r="A121" s="827" t="s">
        <v>3343</v>
      </c>
      <c r="B121" s="828" t="s">
        <v>4022</v>
      </c>
      <c r="C121" s="828" t="s">
        <v>3344</v>
      </c>
      <c r="D121" s="829" t="s">
        <v>3345</v>
      </c>
      <c r="E121" s="830" t="s">
        <v>4794</v>
      </c>
      <c r="F121" s="830"/>
      <c r="G121" s="831">
        <v>1</v>
      </c>
      <c r="H121" s="830" t="s">
        <v>4794</v>
      </c>
      <c r="I121" s="831">
        <v>1</v>
      </c>
      <c r="J121" s="830" t="s">
        <v>4794</v>
      </c>
      <c r="K121" s="831">
        <v>1</v>
      </c>
      <c r="L121" s="830" t="s">
        <v>4794</v>
      </c>
      <c r="M121" s="830" t="s">
        <v>4794</v>
      </c>
      <c r="N121" s="830" t="s">
        <v>4794</v>
      </c>
      <c r="O121" s="830" t="s">
        <v>4794</v>
      </c>
      <c r="P121" s="830" t="s">
        <v>4794</v>
      </c>
      <c r="Q121" s="832">
        <f t="shared" si="1"/>
        <v>3</v>
      </c>
      <c r="R121" s="833" t="s">
        <v>4025</v>
      </c>
      <c r="S121" s="834"/>
      <c r="T121" s="835"/>
      <c r="U121" s="835"/>
      <c r="V121" s="835"/>
      <c r="W121" s="835"/>
      <c r="X121" s="835"/>
      <c r="Y121" s="835"/>
      <c r="Z121" s="835"/>
      <c r="AA121" s="835"/>
      <c r="AB121" s="835"/>
      <c r="AC121" s="835"/>
      <c r="AD121" s="835"/>
      <c r="AE121" s="835"/>
      <c r="AF121" s="835"/>
    </row>
    <row r="122" spans="1:32" ht="52.5">
      <c r="A122" s="827" t="s">
        <v>3346</v>
      </c>
      <c r="B122" s="828" t="s">
        <v>4022</v>
      </c>
      <c r="C122" s="828" t="s">
        <v>3347</v>
      </c>
      <c r="D122" s="829" t="s">
        <v>3348</v>
      </c>
      <c r="E122" s="830" t="s">
        <v>4794</v>
      </c>
      <c r="F122" s="830" t="s">
        <v>4794</v>
      </c>
      <c r="G122" s="830" t="s">
        <v>4794</v>
      </c>
      <c r="H122" s="830" t="s">
        <v>4794</v>
      </c>
      <c r="I122" s="831">
        <v>1</v>
      </c>
      <c r="J122" s="830" t="s">
        <v>4794</v>
      </c>
      <c r="K122" s="830" t="s">
        <v>4794</v>
      </c>
      <c r="L122" s="830"/>
      <c r="M122" s="830" t="s">
        <v>4794</v>
      </c>
      <c r="N122" s="830" t="s">
        <v>4794</v>
      </c>
      <c r="O122" s="830" t="s">
        <v>4794</v>
      </c>
      <c r="P122" s="830"/>
      <c r="Q122" s="832">
        <f t="shared" si="1"/>
        <v>1</v>
      </c>
      <c r="R122" s="833" t="s">
        <v>4025</v>
      </c>
      <c r="S122" s="836"/>
      <c r="T122" s="852"/>
      <c r="U122" s="852"/>
      <c r="V122" s="852"/>
      <c r="W122" s="852"/>
      <c r="X122" s="852"/>
      <c r="Y122" s="852"/>
      <c r="Z122" s="852"/>
      <c r="AA122" s="852"/>
      <c r="AB122" s="852"/>
      <c r="AC122" s="852"/>
      <c r="AD122" s="852"/>
      <c r="AE122" s="852"/>
      <c r="AF122" s="835"/>
    </row>
    <row r="123" spans="1:32" ht="63">
      <c r="A123" s="827" t="s">
        <v>3349</v>
      </c>
      <c r="B123" s="828" t="s">
        <v>4022</v>
      </c>
      <c r="C123" s="828" t="s">
        <v>3350</v>
      </c>
      <c r="D123" s="829" t="s">
        <v>3351</v>
      </c>
      <c r="E123" s="830" t="s">
        <v>4794</v>
      </c>
      <c r="F123" s="830" t="s">
        <v>4794</v>
      </c>
      <c r="G123" s="830" t="s">
        <v>4794</v>
      </c>
      <c r="H123" s="830"/>
      <c r="I123" s="830" t="s">
        <v>4794</v>
      </c>
      <c r="J123" s="831">
        <v>1</v>
      </c>
      <c r="K123" s="830"/>
      <c r="L123" s="830" t="s">
        <v>4794</v>
      </c>
      <c r="M123" s="830"/>
      <c r="N123" s="830"/>
      <c r="O123" s="830" t="s">
        <v>4794</v>
      </c>
      <c r="P123" s="830" t="s">
        <v>4794</v>
      </c>
      <c r="Q123" s="832">
        <f t="shared" si="1"/>
        <v>1</v>
      </c>
      <c r="R123" s="833" t="s">
        <v>4025</v>
      </c>
      <c r="S123" s="834"/>
      <c r="T123" s="835"/>
      <c r="U123" s="835"/>
      <c r="V123" s="835"/>
      <c r="W123" s="835"/>
      <c r="X123" s="835"/>
      <c r="Y123" s="835"/>
      <c r="Z123" s="835"/>
      <c r="AA123" s="835"/>
      <c r="AB123" s="835"/>
      <c r="AC123" s="835"/>
      <c r="AD123" s="835"/>
      <c r="AE123" s="835"/>
      <c r="AF123" s="835"/>
    </row>
    <row r="124" spans="1:32" ht="63">
      <c r="A124" s="827" t="s">
        <v>3352</v>
      </c>
      <c r="B124" s="828" t="s">
        <v>4022</v>
      </c>
      <c r="C124" s="828" t="s">
        <v>3353</v>
      </c>
      <c r="D124" s="829" t="s">
        <v>3354</v>
      </c>
      <c r="E124" s="830" t="s">
        <v>4794</v>
      </c>
      <c r="F124" s="830" t="s">
        <v>4794</v>
      </c>
      <c r="G124" s="830" t="s">
        <v>4794</v>
      </c>
      <c r="H124" s="830" t="s">
        <v>4794</v>
      </c>
      <c r="I124" s="830" t="s">
        <v>4794</v>
      </c>
      <c r="J124" s="830" t="s">
        <v>4794</v>
      </c>
      <c r="K124" s="831">
        <v>1</v>
      </c>
      <c r="L124" s="830"/>
      <c r="M124" s="830" t="s">
        <v>4794</v>
      </c>
      <c r="N124" s="830" t="s">
        <v>4794</v>
      </c>
      <c r="O124" s="830" t="s">
        <v>4794</v>
      </c>
      <c r="P124" s="830" t="s">
        <v>4794</v>
      </c>
      <c r="Q124" s="832">
        <f t="shared" si="1"/>
        <v>1</v>
      </c>
      <c r="R124" s="833" t="s">
        <v>4025</v>
      </c>
      <c r="S124" s="834"/>
      <c r="T124" s="835"/>
      <c r="U124" s="835"/>
      <c r="V124" s="835"/>
      <c r="W124" s="835"/>
      <c r="X124" s="835"/>
      <c r="Y124" s="835"/>
      <c r="Z124" s="835"/>
      <c r="AA124" s="835"/>
      <c r="AB124" s="835"/>
      <c r="AC124" s="835"/>
      <c r="AD124" s="835"/>
      <c r="AE124" s="835"/>
      <c r="AF124" s="835"/>
    </row>
    <row r="125" spans="1:32" ht="63">
      <c r="A125" s="827" t="s">
        <v>3355</v>
      </c>
      <c r="B125" s="828" t="s">
        <v>4022</v>
      </c>
      <c r="C125" s="828" t="s">
        <v>3356</v>
      </c>
      <c r="D125" s="829" t="s">
        <v>3357</v>
      </c>
      <c r="E125" s="830" t="s">
        <v>4794</v>
      </c>
      <c r="F125" s="830" t="s">
        <v>4794</v>
      </c>
      <c r="G125" s="830" t="s">
        <v>4794</v>
      </c>
      <c r="H125" s="830" t="s">
        <v>4794</v>
      </c>
      <c r="I125" s="830"/>
      <c r="J125" s="831">
        <v>1</v>
      </c>
      <c r="K125" s="830" t="s">
        <v>4794</v>
      </c>
      <c r="L125" s="830" t="s">
        <v>4794</v>
      </c>
      <c r="M125" s="830" t="s">
        <v>4794</v>
      </c>
      <c r="N125" s="830" t="s">
        <v>4794</v>
      </c>
      <c r="O125" s="830" t="s">
        <v>4794</v>
      </c>
      <c r="P125" s="830" t="s">
        <v>4794</v>
      </c>
      <c r="Q125" s="832">
        <f t="shared" si="1"/>
        <v>1</v>
      </c>
      <c r="R125" s="833" t="s">
        <v>4025</v>
      </c>
      <c r="S125" s="834"/>
      <c r="T125" s="835"/>
      <c r="U125" s="835"/>
      <c r="V125" s="835"/>
      <c r="W125" s="835"/>
      <c r="X125" s="835"/>
      <c r="Y125" s="835"/>
      <c r="Z125" s="835"/>
      <c r="AA125" s="835"/>
      <c r="AB125" s="835"/>
      <c r="AC125" s="835"/>
      <c r="AD125" s="835"/>
      <c r="AE125" s="835"/>
      <c r="AF125" s="835"/>
    </row>
    <row r="126" spans="1:32" ht="63">
      <c r="A126" s="827" t="s">
        <v>3358</v>
      </c>
      <c r="B126" s="828" t="s">
        <v>4022</v>
      </c>
      <c r="C126" s="828" t="s">
        <v>3359</v>
      </c>
      <c r="D126" s="829" t="s">
        <v>3360</v>
      </c>
      <c r="E126" s="830" t="s">
        <v>4794</v>
      </c>
      <c r="F126" s="830" t="s">
        <v>4794</v>
      </c>
      <c r="G126" s="830" t="s">
        <v>4794</v>
      </c>
      <c r="H126" s="830"/>
      <c r="I126" s="830" t="s">
        <v>4794</v>
      </c>
      <c r="J126" s="830" t="s">
        <v>4794</v>
      </c>
      <c r="K126" s="831">
        <v>1</v>
      </c>
      <c r="L126" s="830" t="s">
        <v>4794</v>
      </c>
      <c r="M126" s="830"/>
      <c r="N126" s="830" t="s">
        <v>4794</v>
      </c>
      <c r="O126" s="830" t="s">
        <v>4794</v>
      </c>
      <c r="P126" s="830"/>
      <c r="Q126" s="832">
        <f t="shared" si="1"/>
        <v>1</v>
      </c>
      <c r="R126" s="833" t="s">
        <v>4025</v>
      </c>
      <c r="S126" s="834"/>
      <c r="T126" s="835"/>
      <c r="U126" s="835"/>
      <c r="V126" s="835"/>
      <c r="W126" s="835"/>
      <c r="X126" s="835"/>
      <c r="Y126" s="835"/>
      <c r="Z126" s="835"/>
      <c r="AA126" s="835"/>
      <c r="AB126" s="835"/>
      <c r="AC126" s="835"/>
      <c r="AD126" s="835"/>
      <c r="AE126" s="835"/>
      <c r="AF126" s="835"/>
    </row>
    <row r="127" spans="1:32" ht="63">
      <c r="A127" s="827" t="s">
        <v>3361</v>
      </c>
      <c r="B127" s="828" t="s">
        <v>4022</v>
      </c>
      <c r="C127" s="828" t="s">
        <v>3362</v>
      </c>
      <c r="D127" s="829" t="s">
        <v>3363</v>
      </c>
      <c r="E127" s="830" t="s">
        <v>4794</v>
      </c>
      <c r="F127" s="830" t="s">
        <v>4794</v>
      </c>
      <c r="G127" s="830"/>
      <c r="H127" s="830" t="s">
        <v>4794</v>
      </c>
      <c r="I127" s="830" t="s">
        <v>4794</v>
      </c>
      <c r="J127" s="830" t="s">
        <v>4794</v>
      </c>
      <c r="K127" s="830" t="s">
        <v>4794</v>
      </c>
      <c r="L127" s="831">
        <v>1</v>
      </c>
      <c r="M127" s="830" t="s">
        <v>4794</v>
      </c>
      <c r="N127" s="830" t="s">
        <v>4794</v>
      </c>
      <c r="O127" s="830" t="s">
        <v>4794</v>
      </c>
      <c r="P127" s="830" t="s">
        <v>4794</v>
      </c>
      <c r="Q127" s="832">
        <f t="shared" si="1"/>
        <v>1</v>
      </c>
      <c r="R127" s="833" t="s">
        <v>4025</v>
      </c>
      <c r="S127" s="834"/>
      <c r="T127" s="835"/>
      <c r="U127" s="835"/>
      <c r="V127" s="835"/>
      <c r="W127" s="835"/>
      <c r="X127" s="835"/>
      <c r="Y127" s="835"/>
      <c r="Z127" s="835"/>
      <c r="AA127" s="835"/>
      <c r="AB127" s="835"/>
      <c r="AC127" s="835"/>
      <c r="AD127" s="835"/>
      <c r="AE127" s="835"/>
      <c r="AF127" s="835"/>
    </row>
    <row r="128" spans="1:32" ht="63">
      <c r="A128" s="827" t="s">
        <v>3364</v>
      </c>
      <c r="B128" s="828" t="s">
        <v>4022</v>
      </c>
      <c r="C128" s="828" t="s">
        <v>3365</v>
      </c>
      <c r="D128" s="829" t="s">
        <v>3366</v>
      </c>
      <c r="E128" s="830" t="s">
        <v>4794</v>
      </c>
      <c r="F128" s="830" t="s">
        <v>4794</v>
      </c>
      <c r="G128" s="830" t="s">
        <v>4794</v>
      </c>
      <c r="H128" s="830" t="s">
        <v>4794</v>
      </c>
      <c r="I128" s="831">
        <v>1</v>
      </c>
      <c r="J128" s="830" t="s">
        <v>4794</v>
      </c>
      <c r="K128" s="830" t="s">
        <v>4794</v>
      </c>
      <c r="L128" s="830" t="s">
        <v>4794</v>
      </c>
      <c r="M128" s="830" t="s">
        <v>4794</v>
      </c>
      <c r="N128" s="830" t="s">
        <v>4794</v>
      </c>
      <c r="O128" s="830" t="s">
        <v>4794</v>
      </c>
      <c r="P128" s="830" t="s">
        <v>4794</v>
      </c>
      <c r="Q128" s="832">
        <f t="shared" si="1"/>
        <v>1</v>
      </c>
      <c r="R128" s="833" t="s">
        <v>3367</v>
      </c>
      <c r="S128" s="834"/>
      <c r="T128" s="835"/>
      <c r="U128" s="835"/>
      <c r="V128" s="835"/>
      <c r="W128" s="835"/>
      <c r="X128" s="835"/>
      <c r="Y128" s="835"/>
      <c r="Z128" s="835"/>
      <c r="AA128" s="835"/>
      <c r="AB128" s="835"/>
      <c r="AC128" s="835"/>
      <c r="AD128" s="835"/>
      <c r="AE128" s="835"/>
      <c r="AF128" s="835"/>
    </row>
    <row r="129" spans="1:32" ht="42">
      <c r="A129" s="827" t="s">
        <v>3368</v>
      </c>
      <c r="B129" s="828" t="s">
        <v>4022</v>
      </c>
      <c r="C129" s="828" t="s">
        <v>3369</v>
      </c>
      <c r="D129" s="829" t="s">
        <v>3370</v>
      </c>
      <c r="E129" s="830" t="s">
        <v>4794</v>
      </c>
      <c r="F129" s="830" t="s">
        <v>4794</v>
      </c>
      <c r="G129" s="830" t="s">
        <v>4794</v>
      </c>
      <c r="H129" s="830" t="s">
        <v>4794</v>
      </c>
      <c r="I129" s="830" t="s">
        <v>4794</v>
      </c>
      <c r="J129" s="831">
        <v>10</v>
      </c>
      <c r="K129" s="830" t="s">
        <v>4794</v>
      </c>
      <c r="L129" s="830" t="s">
        <v>4794</v>
      </c>
      <c r="M129" s="831">
        <v>10</v>
      </c>
      <c r="N129" s="830" t="s">
        <v>4794</v>
      </c>
      <c r="O129" s="830" t="s">
        <v>4794</v>
      </c>
      <c r="P129" s="830" t="s">
        <v>4794</v>
      </c>
      <c r="Q129" s="832">
        <f t="shared" si="1"/>
        <v>20</v>
      </c>
      <c r="R129" s="833" t="s">
        <v>4025</v>
      </c>
      <c r="S129" s="834"/>
      <c r="T129" s="835"/>
      <c r="U129" s="835"/>
      <c r="V129" s="835"/>
      <c r="W129" s="835"/>
      <c r="X129" s="835"/>
      <c r="Y129" s="835"/>
      <c r="Z129" s="835"/>
      <c r="AA129" s="835"/>
      <c r="AB129" s="835"/>
      <c r="AC129" s="835"/>
      <c r="AD129" s="835"/>
      <c r="AE129" s="835"/>
      <c r="AF129" s="835"/>
    </row>
    <row r="130" spans="1:32" ht="42">
      <c r="A130" s="827" t="s">
        <v>3371</v>
      </c>
      <c r="B130" s="828" t="s">
        <v>4022</v>
      </c>
      <c r="C130" s="828" t="s">
        <v>3372</v>
      </c>
      <c r="D130" s="829" t="s">
        <v>3373</v>
      </c>
      <c r="E130" s="830" t="s">
        <v>4794</v>
      </c>
      <c r="F130" s="830" t="s">
        <v>4794</v>
      </c>
      <c r="G130" s="830" t="s">
        <v>4794</v>
      </c>
      <c r="H130" s="830" t="s">
        <v>4794</v>
      </c>
      <c r="I130" s="830" t="s">
        <v>4794</v>
      </c>
      <c r="J130" s="831">
        <v>10</v>
      </c>
      <c r="K130" s="830" t="s">
        <v>4794</v>
      </c>
      <c r="L130" s="830" t="s">
        <v>4794</v>
      </c>
      <c r="M130" s="831">
        <v>10</v>
      </c>
      <c r="N130" s="830" t="s">
        <v>4794</v>
      </c>
      <c r="O130" s="830" t="s">
        <v>4794</v>
      </c>
      <c r="P130" s="830" t="s">
        <v>4794</v>
      </c>
      <c r="Q130" s="832">
        <f t="shared" si="1"/>
        <v>20</v>
      </c>
      <c r="R130" s="833" t="s">
        <v>4025</v>
      </c>
      <c r="S130" s="834"/>
      <c r="T130" s="835"/>
      <c r="U130" s="835"/>
      <c r="V130" s="835"/>
      <c r="W130" s="835"/>
      <c r="X130" s="835"/>
      <c r="Y130" s="835"/>
      <c r="Z130" s="835"/>
      <c r="AA130" s="835"/>
      <c r="AB130" s="835"/>
      <c r="AC130" s="835"/>
      <c r="AD130" s="835"/>
      <c r="AE130" s="835"/>
      <c r="AF130" s="835"/>
    </row>
    <row r="131" spans="1:32" ht="42">
      <c r="A131" s="827" t="s">
        <v>3374</v>
      </c>
      <c r="B131" s="828" t="s">
        <v>4022</v>
      </c>
      <c r="C131" s="828" t="s">
        <v>3375</v>
      </c>
      <c r="D131" s="829" t="s">
        <v>3376</v>
      </c>
      <c r="E131" s="830" t="s">
        <v>4794</v>
      </c>
      <c r="F131" s="830" t="s">
        <v>4794</v>
      </c>
      <c r="G131" s="830" t="s">
        <v>4794</v>
      </c>
      <c r="H131" s="830" t="s">
        <v>4794</v>
      </c>
      <c r="I131" s="830" t="s">
        <v>4794</v>
      </c>
      <c r="J131" s="831">
        <v>10</v>
      </c>
      <c r="K131" s="830" t="s">
        <v>4794</v>
      </c>
      <c r="L131" s="830" t="s">
        <v>4794</v>
      </c>
      <c r="M131" s="831">
        <v>10</v>
      </c>
      <c r="N131" s="830" t="s">
        <v>4794</v>
      </c>
      <c r="O131" s="830" t="s">
        <v>4794</v>
      </c>
      <c r="P131" s="830" t="s">
        <v>4794</v>
      </c>
      <c r="Q131" s="832">
        <f t="shared" si="1"/>
        <v>20</v>
      </c>
      <c r="R131" s="833" t="s">
        <v>4025</v>
      </c>
      <c r="S131" s="834"/>
      <c r="T131" s="835"/>
      <c r="U131" s="835"/>
      <c r="V131" s="835"/>
      <c r="W131" s="835"/>
      <c r="X131" s="835"/>
      <c r="Y131" s="835"/>
      <c r="Z131" s="835"/>
      <c r="AA131" s="835"/>
      <c r="AB131" s="835"/>
      <c r="AC131" s="835"/>
      <c r="AD131" s="835"/>
      <c r="AE131" s="835"/>
      <c r="AF131" s="835"/>
    </row>
    <row r="132" spans="1:32" ht="42">
      <c r="A132" s="827" t="s">
        <v>3377</v>
      </c>
      <c r="B132" s="828" t="s">
        <v>4022</v>
      </c>
      <c r="C132" s="828" t="s">
        <v>3378</v>
      </c>
      <c r="D132" s="829" t="s">
        <v>3379</v>
      </c>
      <c r="E132" s="830" t="s">
        <v>4794</v>
      </c>
      <c r="F132" s="830" t="s">
        <v>4794</v>
      </c>
      <c r="G132" s="830" t="s">
        <v>4794</v>
      </c>
      <c r="H132" s="830" t="s">
        <v>4794</v>
      </c>
      <c r="I132" s="830" t="s">
        <v>4794</v>
      </c>
      <c r="J132" s="831">
        <v>10</v>
      </c>
      <c r="K132" s="830" t="s">
        <v>4794</v>
      </c>
      <c r="L132" s="830" t="s">
        <v>4794</v>
      </c>
      <c r="M132" s="831">
        <v>10</v>
      </c>
      <c r="N132" s="830" t="s">
        <v>4794</v>
      </c>
      <c r="O132" s="830" t="s">
        <v>4794</v>
      </c>
      <c r="P132" s="830" t="s">
        <v>4794</v>
      </c>
      <c r="Q132" s="832">
        <f t="shared" si="1"/>
        <v>20</v>
      </c>
      <c r="R132" s="833" t="s">
        <v>4025</v>
      </c>
      <c r="S132" s="834"/>
      <c r="T132" s="835"/>
      <c r="U132" s="835"/>
      <c r="V132" s="835"/>
      <c r="W132" s="835"/>
      <c r="X132" s="835"/>
      <c r="Y132" s="835"/>
      <c r="Z132" s="835"/>
      <c r="AA132" s="835"/>
      <c r="AB132" s="835"/>
      <c r="AC132" s="835"/>
      <c r="AD132" s="835"/>
      <c r="AE132" s="835"/>
      <c r="AF132" s="835"/>
    </row>
    <row r="133" spans="1:32" ht="42">
      <c r="A133" s="827" t="s">
        <v>3380</v>
      </c>
      <c r="B133" s="828" t="s">
        <v>4022</v>
      </c>
      <c r="C133" s="828" t="s">
        <v>3381</v>
      </c>
      <c r="D133" s="829" t="s">
        <v>3382</v>
      </c>
      <c r="E133" s="830" t="s">
        <v>4794</v>
      </c>
      <c r="F133" s="830" t="s">
        <v>4794</v>
      </c>
      <c r="G133" s="830" t="s">
        <v>4794</v>
      </c>
      <c r="H133" s="830" t="s">
        <v>4794</v>
      </c>
      <c r="I133" s="830" t="s">
        <v>4794</v>
      </c>
      <c r="J133" s="831">
        <v>10</v>
      </c>
      <c r="K133" s="830" t="s">
        <v>4794</v>
      </c>
      <c r="L133" s="830" t="s">
        <v>4794</v>
      </c>
      <c r="M133" s="831">
        <v>10</v>
      </c>
      <c r="N133" s="830" t="s">
        <v>4794</v>
      </c>
      <c r="O133" s="830" t="s">
        <v>4794</v>
      </c>
      <c r="P133" s="830" t="s">
        <v>4794</v>
      </c>
      <c r="Q133" s="832">
        <f t="shared" si="1"/>
        <v>20</v>
      </c>
      <c r="R133" s="833" t="s">
        <v>4025</v>
      </c>
      <c r="S133" s="834"/>
      <c r="T133" s="835"/>
      <c r="U133" s="835"/>
      <c r="V133" s="835"/>
      <c r="W133" s="835"/>
      <c r="X133" s="835"/>
      <c r="Y133" s="835"/>
      <c r="Z133" s="835"/>
      <c r="AA133" s="835"/>
      <c r="AB133" s="835"/>
      <c r="AC133" s="835"/>
      <c r="AD133" s="835"/>
      <c r="AE133" s="835"/>
      <c r="AF133" s="835"/>
    </row>
    <row r="134" spans="1:32" ht="52.5">
      <c r="A134" s="827" t="s">
        <v>3383</v>
      </c>
      <c r="B134" s="828" t="s">
        <v>4022</v>
      </c>
      <c r="C134" s="828" t="s">
        <v>3384</v>
      </c>
      <c r="D134" s="829" t="s">
        <v>3385</v>
      </c>
      <c r="E134" s="830" t="s">
        <v>4794</v>
      </c>
      <c r="F134" s="830" t="s">
        <v>4794</v>
      </c>
      <c r="G134" s="830" t="s">
        <v>4794</v>
      </c>
      <c r="H134" s="830" t="s">
        <v>4794</v>
      </c>
      <c r="I134" s="831">
        <v>1</v>
      </c>
      <c r="J134" s="830"/>
      <c r="K134" s="830"/>
      <c r="L134" s="830" t="s">
        <v>4794</v>
      </c>
      <c r="M134" s="830" t="s">
        <v>4794</v>
      </c>
      <c r="N134" s="830" t="s">
        <v>4794</v>
      </c>
      <c r="O134" s="830"/>
      <c r="P134" s="830" t="s">
        <v>4794</v>
      </c>
      <c r="Q134" s="832">
        <f t="shared" si="1"/>
        <v>1</v>
      </c>
      <c r="R134" s="833" t="s">
        <v>4025</v>
      </c>
      <c r="S134" s="834"/>
      <c r="T134" s="835"/>
      <c r="U134" s="835"/>
      <c r="V134" s="835"/>
      <c r="W134" s="835"/>
      <c r="X134" s="835"/>
      <c r="Y134" s="835"/>
      <c r="Z134" s="835"/>
      <c r="AA134" s="835"/>
      <c r="AB134" s="835"/>
      <c r="AC134" s="835"/>
      <c r="AD134" s="835"/>
      <c r="AE134" s="835"/>
      <c r="AF134" s="835"/>
    </row>
    <row r="135" spans="1:32" ht="31.5">
      <c r="A135" s="827" t="s">
        <v>3386</v>
      </c>
      <c r="B135" s="828" t="s">
        <v>4022</v>
      </c>
      <c r="C135" s="828" t="s">
        <v>3387</v>
      </c>
      <c r="D135" s="829" t="s">
        <v>3388</v>
      </c>
      <c r="E135" s="830"/>
      <c r="F135" s="830"/>
      <c r="G135" s="830"/>
      <c r="H135" s="830" t="s">
        <v>4794</v>
      </c>
      <c r="I135" s="831">
        <v>5</v>
      </c>
      <c r="J135" s="831">
        <v>5</v>
      </c>
      <c r="K135" s="830" t="s">
        <v>4794</v>
      </c>
      <c r="L135" s="830" t="s">
        <v>4794</v>
      </c>
      <c r="M135" s="830" t="s">
        <v>4794</v>
      </c>
      <c r="N135" s="830" t="s">
        <v>4794</v>
      </c>
      <c r="O135" s="830"/>
      <c r="P135" s="830"/>
      <c r="Q135" s="832">
        <f t="shared" si="1"/>
        <v>10</v>
      </c>
      <c r="R135" s="833" t="s">
        <v>4025</v>
      </c>
      <c r="S135" s="834"/>
      <c r="T135" s="835"/>
      <c r="U135" s="835"/>
      <c r="V135" s="835"/>
      <c r="W135" s="835"/>
      <c r="X135" s="835"/>
      <c r="Y135" s="835"/>
      <c r="Z135" s="835"/>
      <c r="AA135" s="835"/>
      <c r="AB135" s="835"/>
      <c r="AC135" s="835"/>
      <c r="AD135" s="835"/>
      <c r="AE135" s="835"/>
      <c r="AF135" s="835"/>
    </row>
    <row r="136" spans="1:32" ht="31.5">
      <c r="A136" s="827" t="s">
        <v>3389</v>
      </c>
      <c r="B136" s="828" t="s">
        <v>4022</v>
      </c>
      <c r="C136" s="828" t="s">
        <v>3390</v>
      </c>
      <c r="D136" s="829" t="s">
        <v>3391</v>
      </c>
      <c r="E136" s="830" t="s">
        <v>4794</v>
      </c>
      <c r="F136" s="830" t="s">
        <v>4794</v>
      </c>
      <c r="G136" s="830"/>
      <c r="H136" s="830" t="s">
        <v>4794</v>
      </c>
      <c r="I136" s="831">
        <v>5</v>
      </c>
      <c r="J136" s="830" t="s">
        <v>4794</v>
      </c>
      <c r="K136" s="831">
        <v>5</v>
      </c>
      <c r="L136" s="830" t="s">
        <v>4794</v>
      </c>
      <c r="M136" s="830" t="s">
        <v>4794</v>
      </c>
      <c r="N136" s="830" t="s">
        <v>4794</v>
      </c>
      <c r="O136" s="830" t="s">
        <v>4794</v>
      </c>
      <c r="P136" s="830" t="s">
        <v>4794</v>
      </c>
      <c r="Q136" s="832">
        <f t="shared" si="1"/>
        <v>10</v>
      </c>
      <c r="R136" s="833" t="s">
        <v>4025</v>
      </c>
      <c r="S136" s="834"/>
      <c r="T136" s="835"/>
      <c r="U136" s="835"/>
      <c r="V136" s="835"/>
      <c r="W136" s="835"/>
      <c r="X136" s="835"/>
      <c r="Y136" s="835"/>
      <c r="Z136" s="835"/>
      <c r="AA136" s="835"/>
      <c r="AB136" s="835"/>
      <c r="AC136" s="835"/>
      <c r="AD136" s="835"/>
      <c r="AE136" s="835"/>
      <c r="AF136" s="835"/>
    </row>
    <row r="137" spans="1:32" ht="42">
      <c r="A137" s="827" t="s">
        <v>3392</v>
      </c>
      <c r="B137" s="828" t="s">
        <v>4022</v>
      </c>
      <c r="C137" s="828" t="s">
        <v>3393</v>
      </c>
      <c r="D137" s="829" t="s">
        <v>3394</v>
      </c>
      <c r="E137" s="830"/>
      <c r="F137" s="830"/>
      <c r="G137" s="830"/>
      <c r="H137" s="830"/>
      <c r="I137" s="831">
        <v>5</v>
      </c>
      <c r="J137" s="830" t="s">
        <v>4794</v>
      </c>
      <c r="K137" s="831">
        <v>5</v>
      </c>
      <c r="L137" s="830" t="s">
        <v>4794</v>
      </c>
      <c r="M137" s="830" t="s">
        <v>4794</v>
      </c>
      <c r="N137" s="830"/>
      <c r="O137" s="831">
        <v>1</v>
      </c>
      <c r="P137" s="830"/>
      <c r="Q137" s="832">
        <f t="shared" si="1"/>
        <v>11</v>
      </c>
      <c r="R137" s="833" t="s">
        <v>4025</v>
      </c>
      <c r="S137" s="834"/>
      <c r="T137" s="835"/>
      <c r="U137" s="835"/>
      <c r="V137" s="835"/>
      <c r="W137" s="835"/>
      <c r="X137" s="835"/>
      <c r="Y137" s="835"/>
      <c r="Z137" s="835"/>
      <c r="AA137" s="835"/>
      <c r="AB137" s="835"/>
      <c r="AC137" s="835"/>
      <c r="AD137" s="835"/>
      <c r="AE137" s="835"/>
      <c r="AF137" s="835"/>
    </row>
    <row r="138" spans="1:32" ht="31.5">
      <c r="A138" s="827" t="s">
        <v>3395</v>
      </c>
      <c r="B138" s="828" t="s">
        <v>4022</v>
      </c>
      <c r="C138" s="828" t="s">
        <v>3396</v>
      </c>
      <c r="D138" s="829" t="s">
        <v>3397</v>
      </c>
      <c r="E138" s="830" t="s">
        <v>4794</v>
      </c>
      <c r="F138" s="830"/>
      <c r="G138" s="830" t="s">
        <v>4794</v>
      </c>
      <c r="H138" s="830"/>
      <c r="I138" s="830" t="s">
        <v>4794</v>
      </c>
      <c r="J138" s="831">
        <v>5</v>
      </c>
      <c r="K138" s="830" t="s">
        <v>4794</v>
      </c>
      <c r="L138" s="830" t="s">
        <v>4794</v>
      </c>
      <c r="M138" s="830" t="s">
        <v>4794</v>
      </c>
      <c r="N138" s="830" t="s">
        <v>4794</v>
      </c>
      <c r="O138" s="831">
        <v>5</v>
      </c>
      <c r="P138" s="830" t="s">
        <v>4794</v>
      </c>
      <c r="Q138" s="832">
        <f t="shared" si="1"/>
        <v>10</v>
      </c>
      <c r="R138" s="833" t="s">
        <v>4025</v>
      </c>
      <c r="S138" s="834"/>
      <c r="T138" s="835"/>
      <c r="U138" s="835"/>
      <c r="V138" s="835"/>
      <c r="W138" s="835"/>
      <c r="X138" s="835"/>
      <c r="Y138" s="835"/>
      <c r="Z138" s="835"/>
      <c r="AA138" s="835"/>
      <c r="AB138" s="835"/>
      <c r="AC138" s="835"/>
      <c r="AD138" s="835"/>
      <c r="AE138" s="835"/>
      <c r="AF138" s="835"/>
    </row>
    <row r="139" spans="1:32" ht="31.5">
      <c r="A139" s="827" t="s">
        <v>3398</v>
      </c>
      <c r="B139" s="828" t="s">
        <v>4022</v>
      </c>
      <c r="C139" s="828" t="s">
        <v>3399</v>
      </c>
      <c r="D139" s="829" t="s">
        <v>3400</v>
      </c>
      <c r="E139" s="830" t="s">
        <v>4794</v>
      </c>
      <c r="F139" s="830" t="s">
        <v>4794</v>
      </c>
      <c r="G139" s="830"/>
      <c r="H139" s="830"/>
      <c r="I139" s="830"/>
      <c r="J139" s="831">
        <v>5</v>
      </c>
      <c r="K139" s="830"/>
      <c r="L139" s="830" t="s">
        <v>4794</v>
      </c>
      <c r="M139" s="830" t="s">
        <v>4794</v>
      </c>
      <c r="N139" s="830"/>
      <c r="O139" s="831">
        <v>5</v>
      </c>
      <c r="P139" s="830"/>
      <c r="Q139" s="832">
        <f t="shared" si="1"/>
        <v>10</v>
      </c>
      <c r="R139" s="833" t="s">
        <v>4025</v>
      </c>
      <c r="S139" s="834"/>
      <c r="T139" s="835"/>
      <c r="U139" s="835"/>
      <c r="V139" s="835"/>
      <c r="W139" s="835"/>
      <c r="X139" s="835"/>
      <c r="Y139" s="835"/>
      <c r="Z139" s="835"/>
      <c r="AA139" s="835"/>
      <c r="AB139" s="835"/>
      <c r="AC139" s="835"/>
      <c r="AD139" s="835"/>
      <c r="AE139" s="835"/>
      <c r="AF139" s="835"/>
    </row>
    <row r="140" spans="1:32" ht="31.5">
      <c r="A140" s="827" t="s">
        <v>3401</v>
      </c>
      <c r="B140" s="828" t="s">
        <v>4022</v>
      </c>
      <c r="C140" s="828" t="s">
        <v>3402</v>
      </c>
      <c r="D140" s="829" t="s">
        <v>3403</v>
      </c>
      <c r="E140" s="830" t="s">
        <v>4794</v>
      </c>
      <c r="F140" s="830"/>
      <c r="G140" s="830" t="s">
        <v>4794</v>
      </c>
      <c r="H140" s="830" t="s">
        <v>4794</v>
      </c>
      <c r="I140" s="831">
        <v>10</v>
      </c>
      <c r="J140" s="830" t="s">
        <v>4794</v>
      </c>
      <c r="K140" s="830" t="s">
        <v>4794</v>
      </c>
      <c r="L140" s="831">
        <v>10</v>
      </c>
      <c r="M140" s="830"/>
      <c r="N140" s="830" t="s">
        <v>4794</v>
      </c>
      <c r="O140" s="830" t="s">
        <v>4794</v>
      </c>
      <c r="P140" s="830" t="s">
        <v>4794</v>
      </c>
      <c r="Q140" s="832">
        <f t="shared" si="1"/>
        <v>20</v>
      </c>
      <c r="R140" s="833" t="s">
        <v>4025</v>
      </c>
      <c r="S140" s="834"/>
      <c r="T140" s="835"/>
      <c r="U140" s="835"/>
      <c r="V140" s="835"/>
      <c r="W140" s="835"/>
      <c r="X140" s="835"/>
      <c r="Y140" s="835"/>
      <c r="Z140" s="835"/>
      <c r="AA140" s="835"/>
      <c r="AB140" s="835"/>
      <c r="AC140" s="835"/>
      <c r="AD140" s="835"/>
      <c r="AE140" s="835"/>
      <c r="AF140" s="835"/>
    </row>
    <row r="141" spans="1:32" ht="31.5">
      <c r="A141" s="827" t="s">
        <v>3404</v>
      </c>
      <c r="B141" s="828" t="s">
        <v>4022</v>
      </c>
      <c r="C141" s="828" t="s">
        <v>3405</v>
      </c>
      <c r="D141" s="829" t="s">
        <v>3406</v>
      </c>
      <c r="E141" s="830" t="s">
        <v>4794</v>
      </c>
      <c r="F141" s="830" t="s">
        <v>4794</v>
      </c>
      <c r="G141" s="830" t="s">
        <v>4794</v>
      </c>
      <c r="H141" s="830" t="s">
        <v>4794</v>
      </c>
      <c r="I141" s="831">
        <v>10</v>
      </c>
      <c r="J141" s="830" t="s">
        <v>4794</v>
      </c>
      <c r="K141" s="830" t="s">
        <v>4794</v>
      </c>
      <c r="L141" s="831">
        <v>10</v>
      </c>
      <c r="M141" s="830" t="s">
        <v>4794</v>
      </c>
      <c r="N141" s="830" t="s">
        <v>4794</v>
      </c>
      <c r="O141" s="830" t="s">
        <v>4794</v>
      </c>
      <c r="P141" s="830" t="s">
        <v>4794</v>
      </c>
      <c r="Q141" s="832">
        <f t="shared" si="1"/>
        <v>20</v>
      </c>
      <c r="R141" s="833" t="s">
        <v>4025</v>
      </c>
      <c r="S141" s="834"/>
      <c r="T141" s="835"/>
      <c r="U141" s="835"/>
      <c r="V141" s="835"/>
      <c r="W141" s="835"/>
      <c r="X141" s="835"/>
      <c r="Y141" s="835"/>
      <c r="Z141" s="835"/>
      <c r="AA141" s="835"/>
      <c r="AB141" s="835"/>
      <c r="AC141" s="835"/>
      <c r="AD141" s="835"/>
      <c r="AE141" s="835"/>
      <c r="AF141" s="835"/>
    </row>
    <row r="142" spans="1:32" ht="31.5">
      <c r="A142" s="827" t="s">
        <v>3407</v>
      </c>
      <c r="B142" s="828" t="s">
        <v>4022</v>
      </c>
      <c r="C142" s="828" t="s">
        <v>3408</v>
      </c>
      <c r="D142" s="829" t="s">
        <v>3409</v>
      </c>
      <c r="E142" s="830" t="s">
        <v>4794</v>
      </c>
      <c r="F142" s="830" t="s">
        <v>4794</v>
      </c>
      <c r="G142" s="830" t="s">
        <v>4794</v>
      </c>
      <c r="H142" s="830" t="s">
        <v>4794</v>
      </c>
      <c r="I142" s="831">
        <v>10</v>
      </c>
      <c r="J142" s="830" t="s">
        <v>4794</v>
      </c>
      <c r="K142" s="830" t="s">
        <v>4794</v>
      </c>
      <c r="L142" s="831">
        <v>10</v>
      </c>
      <c r="M142" s="830" t="s">
        <v>4794</v>
      </c>
      <c r="N142" s="830" t="s">
        <v>4794</v>
      </c>
      <c r="O142" s="830" t="s">
        <v>4794</v>
      </c>
      <c r="P142" s="830" t="s">
        <v>4794</v>
      </c>
      <c r="Q142" s="832">
        <f t="shared" si="1"/>
        <v>20</v>
      </c>
      <c r="R142" s="833" t="s">
        <v>4025</v>
      </c>
      <c r="S142" s="834"/>
      <c r="T142" s="835"/>
      <c r="U142" s="835"/>
      <c r="V142" s="835"/>
      <c r="W142" s="835"/>
      <c r="X142" s="835"/>
      <c r="Y142" s="835"/>
      <c r="Z142" s="835"/>
      <c r="AA142" s="835"/>
      <c r="AB142" s="835"/>
      <c r="AC142" s="835"/>
      <c r="AD142" s="835"/>
      <c r="AE142" s="835"/>
      <c r="AF142" s="835"/>
    </row>
    <row r="143" spans="1:32" ht="31.5">
      <c r="A143" s="827" t="s">
        <v>3410</v>
      </c>
      <c r="B143" s="828" t="s">
        <v>4022</v>
      </c>
      <c r="C143" s="828" t="s">
        <v>3411</v>
      </c>
      <c r="D143" s="829" t="s">
        <v>3412</v>
      </c>
      <c r="E143" s="830" t="s">
        <v>4794</v>
      </c>
      <c r="F143" s="830" t="s">
        <v>4794</v>
      </c>
      <c r="G143" s="830" t="s">
        <v>4794</v>
      </c>
      <c r="H143" s="830" t="s">
        <v>4794</v>
      </c>
      <c r="I143" s="831">
        <v>10</v>
      </c>
      <c r="J143" s="830" t="s">
        <v>4794</v>
      </c>
      <c r="K143" s="830" t="s">
        <v>4794</v>
      </c>
      <c r="L143" s="831">
        <v>10</v>
      </c>
      <c r="M143" s="830" t="s">
        <v>4794</v>
      </c>
      <c r="N143" s="830" t="s">
        <v>4794</v>
      </c>
      <c r="O143" s="830" t="s">
        <v>4794</v>
      </c>
      <c r="P143" s="830" t="s">
        <v>4794</v>
      </c>
      <c r="Q143" s="832">
        <f t="shared" si="1"/>
        <v>20</v>
      </c>
      <c r="R143" s="833" t="s">
        <v>4025</v>
      </c>
      <c r="S143" s="834"/>
      <c r="T143" s="835"/>
      <c r="U143" s="835"/>
      <c r="V143" s="835"/>
      <c r="W143" s="835"/>
      <c r="X143" s="835"/>
      <c r="Y143" s="835"/>
      <c r="Z143" s="835"/>
      <c r="AA143" s="835"/>
      <c r="AB143" s="835"/>
      <c r="AC143" s="835"/>
      <c r="AD143" s="835"/>
      <c r="AE143" s="835"/>
      <c r="AF143" s="835"/>
    </row>
    <row r="144" spans="1:32" ht="31.5">
      <c r="A144" s="827" t="s">
        <v>3413</v>
      </c>
      <c r="B144" s="828" t="s">
        <v>4022</v>
      </c>
      <c r="C144" s="828" t="s">
        <v>3414</v>
      </c>
      <c r="D144" s="829" t="s">
        <v>3415</v>
      </c>
      <c r="E144" s="830" t="s">
        <v>4794</v>
      </c>
      <c r="F144" s="830" t="s">
        <v>4794</v>
      </c>
      <c r="G144" s="830" t="s">
        <v>4794</v>
      </c>
      <c r="H144" s="830" t="s">
        <v>4794</v>
      </c>
      <c r="I144" s="831">
        <v>10</v>
      </c>
      <c r="J144" s="830" t="s">
        <v>4794</v>
      </c>
      <c r="K144" s="830" t="s">
        <v>4794</v>
      </c>
      <c r="L144" s="831">
        <v>10</v>
      </c>
      <c r="M144" s="830" t="s">
        <v>4794</v>
      </c>
      <c r="N144" s="830" t="s">
        <v>4794</v>
      </c>
      <c r="O144" s="830" t="s">
        <v>4794</v>
      </c>
      <c r="P144" s="830" t="s">
        <v>4794</v>
      </c>
      <c r="Q144" s="832">
        <f t="shared" si="1"/>
        <v>20</v>
      </c>
      <c r="R144" s="833" t="s">
        <v>4025</v>
      </c>
      <c r="S144" s="834"/>
      <c r="T144" s="835"/>
      <c r="U144" s="835"/>
      <c r="V144" s="835"/>
      <c r="W144" s="835"/>
      <c r="X144" s="835"/>
      <c r="Y144" s="835"/>
      <c r="Z144" s="835"/>
      <c r="AA144" s="835"/>
      <c r="AB144" s="835"/>
      <c r="AC144" s="835"/>
      <c r="AD144" s="835"/>
      <c r="AE144" s="835"/>
      <c r="AF144" s="835"/>
    </row>
    <row r="145" spans="1:32" ht="31.5">
      <c r="A145" s="827" t="s">
        <v>3416</v>
      </c>
      <c r="B145" s="828" t="s">
        <v>4022</v>
      </c>
      <c r="C145" s="828" t="s">
        <v>3417</v>
      </c>
      <c r="D145" s="829" t="s">
        <v>3418</v>
      </c>
      <c r="E145" s="830" t="s">
        <v>4794</v>
      </c>
      <c r="F145" s="830" t="s">
        <v>4794</v>
      </c>
      <c r="G145" s="830" t="s">
        <v>4794</v>
      </c>
      <c r="H145" s="830" t="s">
        <v>4794</v>
      </c>
      <c r="I145" s="831">
        <v>10</v>
      </c>
      <c r="J145" s="830" t="s">
        <v>4794</v>
      </c>
      <c r="K145" s="830" t="s">
        <v>4794</v>
      </c>
      <c r="L145" s="831">
        <v>10</v>
      </c>
      <c r="M145" s="830" t="s">
        <v>4794</v>
      </c>
      <c r="N145" s="830" t="s">
        <v>4794</v>
      </c>
      <c r="O145" s="830" t="s">
        <v>4794</v>
      </c>
      <c r="P145" s="830" t="s">
        <v>4794</v>
      </c>
      <c r="Q145" s="832">
        <f t="shared" si="1"/>
        <v>20</v>
      </c>
      <c r="R145" s="833" t="s">
        <v>4025</v>
      </c>
      <c r="S145" s="834"/>
      <c r="T145" s="835"/>
      <c r="U145" s="835"/>
      <c r="V145" s="835"/>
      <c r="W145" s="835"/>
      <c r="X145" s="835"/>
      <c r="Y145" s="835"/>
      <c r="Z145" s="835"/>
      <c r="AA145" s="835"/>
      <c r="AB145" s="835"/>
      <c r="AC145" s="835"/>
      <c r="AD145" s="835"/>
      <c r="AE145" s="835"/>
      <c r="AF145" s="835"/>
    </row>
    <row r="146" spans="1:32" ht="31.5">
      <c r="A146" s="827" t="s">
        <v>3419</v>
      </c>
      <c r="B146" s="828" t="s">
        <v>4022</v>
      </c>
      <c r="C146" s="828" t="s">
        <v>3420</v>
      </c>
      <c r="D146" s="829" t="s">
        <v>3421</v>
      </c>
      <c r="E146" s="830" t="s">
        <v>4794</v>
      </c>
      <c r="F146" s="830" t="s">
        <v>4794</v>
      </c>
      <c r="G146" s="830" t="s">
        <v>4794</v>
      </c>
      <c r="H146" s="830" t="s">
        <v>4794</v>
      </c>
      <c r="I146" s="831">
        <v>10</v>
      </c>
      <c r="J146" s="830" t="s">
        <v>4794</v>
      </c>
      <c r="K146" s="830" t="s">
        <v>4794</v>
      </c>
      <c r="L146" s="831">
        <v>10</v>
      </c>
      <c r="M146" s="830" t="s">
        <v>4794</v>
      </c>
      <c r="N146" s="830" t="s">
        <v>4794</v>
      </c>
      <c r="O146" s="830" t="s">
        <v>4794</v>
      </c>
      <c r="P146" s="830" t="s">
        <v>4794</v>
      </c>
      <c r="Q146" s="832">
        <f t="shared" si="1"/>
        <v>20</v>
      </c>
      <c r="R146" s="833" t="s">
        <v>4025</v>
      </c>
      <c r="S146" s="834"/>
      <c r="T146" s="835"/>
      <c r="U146" s="835"/>
      <c r="V146" s="835"/>
      <c r="W146" s="835"/>
      <c r="X146" s="835"/>
      <c r="Y146" s="835"/>
      <c r="Z146" s="835"/>
      <c r="AA146" s="835"/>
      <c r="AB146" s="835"/>
      <c r="AC146" s="835"/>
      <c r="AD146" s="835"/>
      <c r="AE146" s="835"/>
      <c r="AF146" s="835"/>
    </row>
    <row r="147" spans="1:32" ht="31.5">
      <c r="A147" s="827" t="s">
        <v>3422</v>
      </c>
      <c r="B147" s="828" t="s">
        <v>4022</v>
      </c>
      <c r="C147" s="828" t="s">
        <v>3423</v>
      </c>
      <c r="D147" s="829" t="s">
        <v>3424</v>
      </c>
      <c r="E147" s="830" t="s">
        <v>4794</v>
      </c>
      <c r="F147" s="830" t="s">
        <v>4794</v>
      </c>
      <c r="G147" s="830" t="s">
        <v>4794</v>
      </c>
      <c r="H147" s="830" t="s">
        <v>4794</v>
      </c>
      <c r="I147" s="831">
        <v>10</v>
      </c>
      <c r="J147" s="830" t="s">
        <v>4794</v>
      </c>
      <c r="K147" s="830" t="s">
        <v>4794</v>
      </c>
      <c r="L147" s="831">
        <v>10</v>
      </c>
      <c r="M147" s="830" t="s">
        <v>4794</v>
      </c>
      <c r="N147" s="830" t="s">
        <v>4794</v>
      </c>
      <c r="O147" s="830" t="s">
        <v>4794</v>
      </c>
      <c r="P147" s="830" t="s">
        <v>4794</v>
      </c>
      <c r="Q147" s="832">
        <f t="shared" si="1"/>
        <v>20</v>
      </c>
      <c r="R147" s="833" t="s">
        <v>4025</v>
      </c>
      <c r="S147" s="834"/>
      <c r="T147" s="835"/>
      <c r="U147" s="835"/>
      <c r="V147" s="835"/>
      <c r="W147" s="835"/>
      <c r="X147" s="835"/>
      <c r="Y147" s="835"/>
      <c r="Z147" s="835"/>
      <c r="AA147" s="835"/>
      <c r="AB147" s="835"/>
      <c r="AC147" s="835"/>
      <c r="AD147" s="835"/>
      <c r="AE147" s="835"/>
      <c r="AF147" s="835"/>
    </row>
    <row r="148" spans="1:32" ht="31.5">
      <c r="A148" s="827" t="s">
        <v>3425</v>
      </c>
      <c r="B148" s="828" t="s">
        <v>4022</v>
      </c>
      <c r="C148" s="828" t="s">
        <v>3426</v>
      </c>
      <c r="D148" s="829" t="s">
        <v>3427</v>
      </c>
      <c r="E148" s="830" t="s">
        <v>4794</v>
      </c>
      <c r="F148" s="830" t="s">
        <v>4794</v>
      </c>
      <c r="G148" s="830" t="s">
        <v>4794</v>
      </c>
      <c r="H148" s="830" t="s">
        <v>4794</v>
      </c>
      <c r="I148" s="831">
        <v>10</v>
      </c>
      <c r="J148" s="830" t="s">
        <v>4794</v>
      </c>
      <c r="K148" s="830" t="s">
        <v>4794</v>
      </c>
      <c r="L148" s="831">
        <v>10</v>
      </c>
      <c r="M148" s="830" t="s">
        <v>4794</v>
      </c>
      <c r="N148" s="830" t="s">
        <v>4794</v>
      </c>
      <c r="O148" s="830" t="s">
        <v>4794</v>
      </c>
      <c r="P148" s="830" t="s">
        <v>4794</v>
      </c>
      <c r="Q148" s="832">
        <f t="shared" si="1"/>
        <v>20</v>
      </c>
      <c r="R148" s="833" t="s">
        <v>4025</v>
      </c>
      <c r="S148" s="834"/>
      <c r="T148" s="835"/>
      <c r="U148" s="835"/>
      <c r="V148" s="835"/>
      <c r="W148" s="835"/>
      <c r="X148" s="835"/>
      <c r="Y148" s="835"/>
      <c r="Z148" s="835"/>
      <c r="AA148" s="835"/>
      <c r="AB148" s="835"/>
      <c r="AC148" s="835"/>
      <c r="AD148" s="835"/>
      <c r="AE148" s="835"/>
      <c r="AF148" s="835"/>
    </row>
    <row r="149" spans="1:32" ht="42">
      <c r="A149" s="827" t="s">
        <v>3428</v>
      </c>
      <c r="B149" s="828" t="s">
        <v>4022</v>
      </c>
      <c r="C149" s="828" t="s">
        <v>3429</v>
      </c>
      <c r="D149" s="829" t="s">
        <v>3430</v>
      </c>
      <c r="E149" s="830" t="s">
        <v>4794</v>
      </c>
      <c r="F149" s="830" t="s">
        <v>4794</v>
      </c>
      <c r="G149" s="830" t="s">
        <v>4794</v>
      </c>
      <c r="H149" s="830" t="s">
        <v>4794</v>
      </c>
      <c r="I149" s="831">
        <v>10</v>
      </c>
      <c r="J149" s="830" t="s">
        <v>4794</v>
      </c>
      <c r="K149" s="830" t="s">
        <v>4794</v>
      </c>
      <c r="L149" s="831">
        <v>10</v>
      </c>
      <c r="M149" s="830" t="s">
        <v>4794</v>
      </c>
      <c r="N149" s="830" t="s">
        <v>4794</v>
      </c>
      <c r="O149" s="830" t="s">
        <v>4794</v>
      </c>
      <c r="P149" s="830" t="s">
        <v>4794</v>
      </c>
      <c r="Q149" s="832">
        <f t="shared" si="1"/>
        <v>20</v>
      </c>
      <c r="R149" s="833" t="s">
        <v>4025</v>
      </c>
      <c r="S149" s="834"/>
      <c r="T149" s="835"/>
      <c r="U149" s="835"/>
      <c r="V149" s="835"/>
      <c r="W149" s="835"/>
      <c r="X149" s="835"/>
      <c r="Y149" s="835"/>
      <c r="Z149" s="835"/>
      <c r="AA149" s="835"/>
      <c r="AB149" s="835"/>
      <c r="AC149" s="835"/>
      <c r="AD149" s="835"/>
      <c r="AE149" s="835"/>
      <c r="AF149" s="835"/>
    </row>
    <row r="150" spans="1:32" ht="31.5">
      <c r="A150" s="827" t="s">
        <v>3431</v>
      </c>
      <c r="B150" s="828" t="s">
        <v>4022</v>
      </c>
      <c r="C150" s="828" t="s">
        <v>3432</v>
      </c>
      <c r="D150" s="829" t="s">
        <v>3433</v>
      </c>
      <c r="E150" s="830" t="s">
        <v>4794</v>
      </c>
      <c r="F150" s="830" t="s">
        <v>4794</v>
      </c>
      <c r="G150" s="830" t="s">
        <v>4794</v>
      </c>
      <c r="H150" s="830" t="s">
        <v>4794</v>
      </c>
      <c r="I150" s="831">
        <v>10</v>
      </c>
      <c r="J150" s="830" t="s">
        <v>4794</v>
      </c>
      <c r="K150" s="830" t="s">
        <v>4794</v>
      </c>
      <c r="L150" s="831">
        <v>10</v>
      </c>
      <c r="M150" s="830" t="s">
        <v>4794</v>
      </c>
      <c r="N150" s="830" t="s">
        <v>4794</v>
      </c>
      <c r="O150" s="830" t="s">
        <v>4794</v>
      </c>
      <c r="P150" s="830" t="s">
        <v>4794</v>
      </c>
      <c r="Q150" s="832">
        <f t="shared" si="1"/>
        <v>20</v>
      </c>
      <c r="R150" s="833" t="s">
        <v>4025</v>
      </c>
      <c r="S150" s="834"/>
      <c r="T150" s="835"/>
      <c r="U150" s="835"/>
      <c r="V150" s="835"/>
      <c r="W150" s="835"/>
      <c r="X150" s="835"/>
      <c r="Y150" s="835"/>
      <c r="Z150" s="835"/>
      <c r="AA150" s="835"/>
      <c r="AB150" s="835"/>
      <c r="AC150" s="835"/>
      <c r="AD150" s="835"/>
      <c r="AE150" s="835"/>
      <c r="AF150" s="835"/>
    </row>
    <row r="151" spans="1:32" ht="31.5">
      <c r="A151" s="827" t="s">
        <v>3434</v>
      </c>
      <c r="B151" s="828" t="s">
        <v>4022</v>
      </c>
      <c r="C151" s="828" t="s">
        <v>3435</v>
      </c>
      <c r="D151" s="829" t="s">
        <v>3436</v>
      </c>
      <c r="E151" s="830" t="s">
        <v>4794</v>
      </c>
      <c r="F151" s="830" t="s">
        <v>4794</v>
      </c>
      <c r="G151" s="830" t="s">
        <v>4794</v>
      </c>
      <c r="H151" s="830" t="s">
        <v>4794</v>
      </c>
      <c r="I151" s="831">
        <v>10</v>
      </c>
      <c r="J151" s="830" t="s">
        <v>4794</v>
      </c>
      <c r="K151" s="830" t="s">
        <v>4794</v>
      </c>
      <c r="L151" s="831">
        <v>10</v>
      </c>
      <c r="M151" s="830" t="s">
        <v>4794</v>
      </c>
      <c r="N151" s="830" t="s">
        <v>4794</v>
      </c>
      <c r="O151" s="830" t="s">
        <v>4794</v>
      </c>
      <c r="P151" s="830" t="s">
        <v>4794</v>
      </c>
      <c r="Q151" s="832">
        <f t="shared" si="1"/>
        <v>20</v>
      </c>
      <c r="R151" s="833" t="s">
        <v>4025</v>
      </c>
      <c r="S151" s="836"/>
      <c r="T151" s="852"/>
      <c r="U151" s="852"/>
      <c r="V151" s="852"/>
      <c r="W151" s="852"/>
      <c r="X151" s="852"/>
      <c r="Y151" s="852"/>
      <c r="Z151" s="852"/>
      <c r="AA151" s="852"/>
      <c r="AB151" s="852"/>
      <c r="AC151" s="852"/>
      <c r="AD151" s="852"/>
      <c r="AE151" s="852"/>
      <c r="AF151" s="835"/>
    </row>
    <row r="152" spans="1:32" ht="31.5">
      <c r="A152" s="827" t="s">
        <v>3437</v>
      </c>
      <c r="B152" s="828" t="s">
        <v>4022</v>
      </c>
      <c r="C152" s="828" t="s">
        <v>3438</v>
      </c>
      <c r="D152" s="829" t="s">
        <v>3439</v>
      </c>
      <c r="E152" s="830" t="s">
        <v>4794</v>
      </c>
      <c r="F152" s="830" t="s">
        <v>4794</v>
      </c>
      <c r="G152" s="830" t="s">
        <v>4794</v>
      </c>
      <c r="H152" s="830" t="s">
        <v>4794</v>
      </c>
      <c r="I152" s="831">
        <v>10</v>
      </c>
      <c r="J152" s="830" t="s">
        <v>4794</v>
      </c>
      <c r="K152" s="830" t="s">
        <v>4794</v>
      </c>
      <c r="L152" s="831">
        <v>10</v>
      </c>
      <c r="M152" s="830" t="s">
        <v>4794</v>
      </c>
      <c r="N152" s="830" t="s">
        <v>4794</v>
      </c>
      <c r="O152" s="830" t="s">
        <v>4794</v>
      </c>
      <c r="P152" s="830" t="s">
        <v>4794</v>
      </c>
      <c r="Q152" s="832">
        <f t="shared" si="1"/>
        <v>20</v>
      </c>
      <c r="R152" s="833" t="s">
        <v>4025</v>
      </c>
      <c r="S152" s="834"/>
      <c r="T152" s="835"/>
      <c r="U152" s="835"/>
      <c r="V152" s="835"/>
      <c r="W152" s="835"/>
      <c r="X152" s="835"/>
      <c r="Y152" s="835"/>
      <c r="Z152" s="835"/>
      <c r="AA152" s="835"/>
      <c r="AB152" s="835"/>
      <c r="AC152" s="835"/>
      <c r="AD152" s="835"/>
      <c r="AE152" s="835"/>
      <c r="AF152" s="835"/>
    </row>
    <row r="153" spans="1:32" ht="42">
      <c r="A153" s="827" t="s">
        <v>3440</v>
      </c>
      <c r="B153" s="828" t="s">
        <v>4022</v>
      </c>
      <c r="C153" s="828" t="s">
        <v>3441</v>
      </c>
      <c r="D153" s="829" t="s">
        <v>3442</v>
      </c>
      <c r="E153" s="830" t="s">
        <v>4794</v>
      </c>
      <c r="F153" s="830" t="s">
        <v>4794</v>
      </c>
      <c r="G153" s="830" t="s">
        <v>4794</v>
      </c>
      <c r="H153" s="830" t="s">
        <v>4794</v>
      </c>
      <c r="I153" s="831">
        <v>10</v>
      </c>
      <c r="J153" s="830" t="s">
        <v>4794</v>
      </c>
      <c r="K153" s="830" t="s">
        <v>4794</v>
      </c>
      <c r="L153" s="831">
        <v>10</v>
      </c>
      <c r="M153" s="830" t="s">
        <v>4794</v>
      </c>
      <c r="N153" s="830" t="s">
        <v>4794</v>
      </c>
      <c r="O153" s="830" t="s">
        <v>4794</v>
      </c>
      <c r="P153" s="830" t="s">
        <v>4794</v>
      </c>
      <c r="Q153" s="832">
        <f t="shared" si="1"/>
        <v>20</v>
      </c>
      <c r="R153" s="833" t="s">
        <v>4025</v>
      </c>
      <c r="S153" s="834"/>
      <c r="T153" s="835"/>
      <c r="U153" s="835"/>
      <c r="V153" s="835"/>
      <c r="W153" s="835"/>
      <c r="X153" s="835"/>
      <c r="Y153" s="835"/>
      <c r="Z153" s="835"/>
      <c r="AA153" s="835"/>
      <c r="AB153" s="835"/>
      <c r="AC153" s="835"/>
      <c r="AD153" s="835"/>
      <c r="AE153" s="835"/>
      <c r="AF153" s="835"/>
    </row>
    <row r="154" spans="1:32" ht="42">
      <c r="A154" s="827" t="s">
        <v>3443</v>
      </c>
      <c r="B154" s="828" t="s">
        <v>4022</v>
      </c>
      <c r="C154" s="828" t="s">
        <v>3444</v>
      </c>
      <c r="D154" s="829" t="s">
        <v>3445</v>
      </c>
      <c r="E154" s="830" t="s">
        <v>4794</v>
      </c>
      <c r="F154" s="830" t="s">
        <v>4794</v>
      </c>
      <c r="G154" s="830" t="s">
        <v>4794</v>
      </c>
      <c r="H154" s="830" t="s">
        <v>4794</v>
      </c>
      <c r="I154" s="831">
        <v>10</v>
      </c>
      <c r="J154" s="830" t="s">
        <v>4794</v>
      </c>
      <c r="K154" s="830" t="s">
        <v>4794</v>
      </c>
      <c r="L154" s="831">
        <v>10</v>
      </c>
      <c r="M154" s="830" t="s">
        <v>4794</v>
      </c>
      <c r="N154" s="830" t="s">
        <v>4794</v>
      </c>
      <c r="O154" s="830" t="s">
        <v>4794</v>
      </c>
      <c r="P154" s="830" t="s">
        <v>4794</v>
      </c>
      <c r="Q154" s="832">
        <f t="shared" si="1"/>
        <v>20</v>
      </c>
      <c r="R154" s="833" t="s">
        <v>4025</v>
      </c>
      <c r="S154" s="834"/>
      <c r="T154" s="835"/>
      <c r="U154" s="835"/>
      <c r="V154" s="835"/>
      <c r="W154" s="835"/>
      <c r="X154" s="835"/>
      <c r="Y154" s="835"/>
      <c r="Z154" s="835"/>
      <c r="AA154" s="835"/>
      <c r="AB154" s="835"/>
      <c r="AC154" s="835"/>
      <c r="AD154" s="835"/>
      <c r="AE154" s="835"/>
      <c r="AF154" s="835"/>
    </row>
    <row r="155" spans="1:32" ht="42">
      <c r="A155" s="827" t="s">
        <v>3446</v>
      </c>
      <c r="B155" s="828" t="s">
        <v>4022</v>
      </c>
      <c r="C155" s="828" t="s">
        <v>3447</v>
      </c>
      <c r="D155" s="829" t="s">
        <v>3448</v>
      </c>
      <c r="E155" s="830" t="s">
        <v>4794</v>
      </c>
      <c r="F155" s="830" t="s">
        <v>4794</v>
      </c>
      <c r="G155" s="830" t="s">
        <v>4794</v>
      </c>
      <c r="H155" s="830" t="s">
        <v>4794</v>
      </c>
      <c r="I155" s="831">
        <v>10</v>
      </c>
      <c r="J155" s="830" t="s">
        <v>4794</v>
      </c>
      <c r="K155" s="830" t="s">
        <v>4794</v>
      </c>
      <c r="L155" s="831">
        <v>10</v>
      </c>
      <c r="M155" s="830" t="s">
        <v>4794</v>
      </c>
      <c r="N155" s="830" t="s">
        <v>4794</v>
      </c>
      <c r="O155" s="830" t="s">
        <v>4794</v>
      </c>
      <c r="P155" s="830" t="s">
        <v>4794</v>
      </c>
      <c r="Q155" s="832">
        <f t="shared" ref="Q155:Q220" si="2">SUM(E155:P155)</f>
        <v>20</v>
      </c>
      <c r="R155" s="833" t="s">
        <v>4025</v>
      </c>
      <c r="S155" s="834"/>
      <c r="T155" s="835"/>
      <c r="U155" s="835"/>
      <c r="V155" s="835"/>
      <c r="W155" s="835"/>
      <c r="X155" s="835"/>
      <c r="Y155" s="835"/>
      <c r="Z155" s="835"/>
      <c r="AA155" s="835"/>
      <c r="AB155" s="835"/>
      <c r="AC155" s="835"/>
      <c r="AD155" s="835"/>
      <c r="AE155" s="835"/>
      <c r="AF155" s="835"/>
    </row>
    <row r="156" spans="1:32" ht="31.5">
      <c r="A156" s="827" t="s">
        <v>3449</v>
      </c>
      <c r="B156" s="828" t="s">
        <v>4022</v>
      </c>
      <c r="C156" s="828" t="s">
        <v>3450</v>
      </c>
      <c r="D156" s="829" t="s">
        <v>3451</v>
      </c>
      <c r="E156" s="830" t="s">
        <v>4794</v>
      </c>
      <c r="F156" s="830" t="s">
        <v>4794</v>
      </c>
      <c r="G156" s="830" t="s">
        <v>4794</v>
      </c>
      <c r="H156" s="830" t="s">
        <v>4794</v>
      </c>
      <c r="I156" s="831">
        <v>10</v>
      </c>
      <c r="J156" s="830" t="s">
        <v>4794</v>
      </c>
      <c r="K156" s="830" t="s">
        <v>4794</v>
      </c>
      <c r="L156" s="831">
        <v>10</v>
      </c>
      <c r="M156" s="830" t="s">
        <v>4794</v>
      </c>
      <c r="N156" s="830" t="s">
        <v>4794</v>
      </c>
      <c r="O156" s="830" t="s">
        <v>4794</v>
      </c>
      <c r="P156" s="830" t="s">
        <v>4794</v>
      </c>
      <c r="Q156" s="832">
        <f t="shared" si="2"/>
        <v>20</v>
      </c>
      <c r="R156" s="833" t="s">
        <v>4025</v>
      </c>
      <c r="S156" s="834"/>
      <c r="T156" s="835"/>
      <c r="U156" s="835"/>
      <c r="V156" s="835"/>
      <c r="W156" s="835"/>
      <c r="X156" s="835"/>
      <c r="Y156" s="835"/>
      <c r="Z156" s="835"/>
      <c r="AA156" s="835"/>
      <c r="AB156" s="835"/>
      <c r="AC156" s="835"/>
      <c r="AD156" s="835"/>
      <c r="AE156" s="835"/>
      <c r="AF156" s="835"/>
    </row>
    <row r="157" spans="1:32" ht="42">
      <c r="A157" s="827" t="s">
        <v>3452</v>
      </c>
      <c r="B157" s="828" t="s">
        <v>4022</v>
      </c>
      <c r="C157" s="828" t="s">
        <v>3453</v>
      </c>
      <c r="D157" s="829" t="s">
        <v>3454</v>
      </c>
      <c r="E157" s="830" t="s">
        <v>4794</v>
      </c>
      <c r="F157" s="830" t="s">
        <v>4794</v>
      </c>
      <c r="G157" s="831">
        <v>2</v>
      </c>
      <c r="H157" s="831">
        <v>2</v>
      </c>
      <c r="I157" s="831">
        <v>2</v>
      </c>
      <c r="J157" s="831">
        <v>2</v>
      </c>
      <c r="K157" s="831">
        <v>2</v>
      </c>
      <c r="L157" s="831">
        <v>2</v>
      </c>
      <c r="M157" s="831">
        <v>2</v>
      </c>
      <c r="N157" s="831">
        <v>2</v>
      </c>
      <c r="O157" s="831">
        <v>2</v>
      </c>
      <c r="P157" s="830" t="s">
        <v>4794</v>
      </c>
      <c r="Q157" s="832">
        <f t="shared" si="2"/>
        <v>18</v>
      </c>
      <c r="R157" s="833" t="s">
        <v>3367</v>
      </c>
      <c r="S157" s="834"/>
      <c r="T157" s="835"/>
      <c r="U157" s="835"/>
      <c r="V157" s="835"/>
      <c r="W157" s="835"/>
      <c r="X157" s="835"/>
      <c r="Y157" s="835"/>
      <c r="Z157" s="835"/>
      <c r="AA157" s="835"/>
      <c r="AB157" s="835"/>
      <c r="AC157" s="835"/>
      <c r="AD157" s="835"/>
      <c r="AE157" s="835"/>
      <c r="AF157" s="835"/>
    </row>
    <row r="158" spans="1:32" ht="42">
      <c r="A158" s="827" t="s">
        <v>3455</v>
      </c>
      <c r="B158" s="828" t="s">
        <v>4022</v>
      </c>
      <c r="C158" s="828" t="s">
        <v>3456</v>
      </c>
      <c r="D158" s="829" t="s">
        <v>3457</v>
      </c>
      <c r="E158" s="830"/>
      <c r="F158" s="831">
        <v>2</v>
      </c>
      <c r="G158" s="831">
        <v>2</v>
      </c>
      <c r="H158" s="831">
        <v>2</v>
      </c>
      <c r="I158" s="831">
        <v>2</v>
      </c>
      <c r="J158" s="831">
        <v>2</v>
      </c>
      <c r="K158" s="831">
        <v>2</v>
      </c>
      <c r="L158" s="831">
        <v>2</v>
      </c>
      <c r="M158" s="831">
        <v>2</v>
      </c>
      <c r="N158" s="831">
        <v>2</v>
      </c>
      <c r="O158" s="831">
        <v>2</v>
      </c>
      <c r="P158" s="831">
        <v>2</v>
      </c>
      <c r="Q158" s="832">
        <f t="shared" si="2"/>
        <v>22</v>
      </c>
      <c r="R158" s="833" t="s">
        <v>3367</v>
      </c>
      <c r="S158" s="834"/>
      <c r="T158" s="850"/>
      <c r="U158" s="850"/>
      <c r="V158" s="850"/>
      <c r="W158" s="850"/>
      <c r="X158" s="850"/>
      <c r="Y158" s="850"/>
      <c r="Z158" s="850"/>
      <c r="AA158" s="850"/>
      <c r="AB158" s="850"/>
      <c r="AC158" s="850"/>
      <c r="AD158" s="850"/>
      <c r="AE158" s="850"/>
      <c r="AF158" s="835"/>
    </row>
    <row r="159" spans="1:32" ht="52.5">
      <c r="A159" s="827" t="s">
        <v>3458</v>
      </c>
      <c r="B159" s="828" t="s">
        <v>4022</v>
      </c>
      <c r="C159" s="828" t="s">
        <v>3459</v>
      </c>
      <c r="D159" s="829" t="s">
        <v>3460</v>
      </c>
      <c r="E159" s="830" t="s">
        <v>4794</v>
      </c>
      <c r="F159" s="830"/>
      <c r="G159" s="830" t="s">
        <v>4794</v>
      </c>
      <c r="H159" s="830"/>
      <c r="I159" s="831">
        <v>6</v>
      </c>
      <c r="J159" s="831">
        <v>6</v>
      </c>
      <c r="K159" s="830" t="s">
        <v>4794</v>
      </c>
      <c r="L159" s="831">
        <v>6</v>
      </c>
      <c r="M159" s="830" t="s">
        <v>4794</v>
      </c>
      <c r="N159" s="830" t="s">
        <v>4794</v>
      </c>
      <c r="O159" s="830" t="s">
        <v>4794</v>
      </c>
      <c r="P159" s="830"/>
      <c r="Q159" s="832">
        <f t="shared" si="2"/>
        <v>18</v>
      </c>
      <c r="R159" s="833" t="s">
        <v>3367</v>
      </c>
      <c r="S159" s="834"/>
      <c r="T159" s="835"/>
      <c r="U159" s="835"/>
      <c r="V159" s="835"/>
      <c r="W159" s="835"/>
      <c r="X159" s="835"/>
      <c r="Y159" s="835"/>
      <c r="Z159" s="835"/>
      <c r="AA159" s="835"/>
      <c r="AB159" s="835"/>
      <c r="AC159" s="835"/>
      <c r="AD159" s="835"/>
      <c r="AE159" s="835"/>
      <c r="AF159" s="835"/>
    </row>
    <row r="160" spans="1:32" ht="52.5">
      <c r="A160" s="827" t="s">
        <v>3461</v>
      </c>
      <c r="B160" s="828" t="s">
        <v>4022</v>
      </c>
      <c r="C160" s="828" t="s">
        <v>3462</v>
      </c>
      <c r="D160" s="829" t="s">
        <v>3463</v>
      </c>
      <c r="E160" s="830"/>
      <c r="F160" s="830"/>
      <c r="G160" s="831">
        <v>4</v>
      </c>
      <c r="H160" s="830"/>
      <c r="I160" s="831">
        <v>4</v>
      </c>
      <c r="J160" s="830"/>
      <c r="K160" s="831">
        <v>4</v>
      </c>
      <c r="L160" s="830"/>
      <c r="M160" s="830"/>
      <c r="N160" s="830"/>
      <c r="O160" s="831">
        <v>4</v>
      </c>
      <c r="P160" s="830"/>
      <c r="Q160" s="832">
        <f t="shared" si="2"/>
        <v>16</v>
      </c>
      <c r="R160" s="833" t="s">
        <v>4025</v>
      </c>
      <c r="S160" s="834"/>
      <c r="T160" s="835"/>
      <c r="U160" s="835"/>
      <c r="V160" s="835"/>
      <c r="W160" s="835"/>
      <c r="X160" s="835"/>
      <c r="Y160" s="835"/>
      <c r="Z160" s="835"/>
      <c r="AA160" s="835"/>
      <c r="AB160" s="835"/>
      <c r="AC160" s="835"/>
      <c r="AD160" s="835"/>
      <c r="AE160" s="835"/>
      <c r="AF160" s="835"/>
    </row>
    <row r="161" spans="1:32" ht="52.5">
      <c r="A161" s="827" t="s">
        <v>3464</v>
      </c>
      <c r="B161" s="828" t="s">
        <v>4022</v>
      </c>
      <c r="C161" s="828" t="s">
        <v>3465</v>
      </c>
      <c r="D161" s="829" t="s">
        <v>3466</v>
      </c>
      <c r="E161" s="830"/>
      <c r="F161" s="830"/>
      <c r="G161" s="830"/>
      <c r="H161" s="830" t="s">
        <v>4794</v>
      </c>
      <c r="I161" s="831">
        <v>2</v>
      </c>
      <c r="J161" s="831">
        <v>2</v>
      </c>
      <c r="K161" s="831">
        <v>2</v>
      </c>
      <c r="L161" s="830"/>
      <c r="M161" s="830"/>
      <c r="N161" s="831">
        <v>2</v>
      </c>
      <c r="O161" s="830"/>
      <c r="P161" s="831">
        <v>2</v>
      </c>
      <c r="Q161" s="832">
        <f t="shared" si="2"/>
        <v>10</v>
      </c>
      <c r="R161" s="833" t="s">
        <v>4025</v>
      </c>
      <c r="S161" s="834"/>
      <c r="T161" s="835"/>
      <c r="U161" s="835"/>
      <c r="V161" s="835"/>
      <c r="W161" s="835"/>
      <c r="X161" s="835"/>
      <c r="Y161" s="835"/>
      <c r="Z161" s="835"/>
      <c r="AA161" s="835"/>
      <c r="AB161" s="835"/>
      <c r="AC161" s="835"/>
      <c r="AD161" s="835"/>
      <c r="AE161" s="835"/>
      <c r="AF161" s="835"/>
    </row>
    <row r="162" spans="1:32" ht="52.5">
      <c r="A162" s="827" t="s">
        <v>3467</v>
      </c>
      <c r="B162" s="828" t="s">
        <v>4022</v>
      </c>
      <c r="C162" s="828" t="s">
        <v>3468</v>
      </c>
      <c r="D162" s="829" t="s">
        <v>3469</v>
      </c>
      <c r="E162" s="830"/>
      <c r="F162" s="830"/>
      <c r="G162" s="830"/>
      <c r="H162" s="830"/>
      <c r="I162" s="831">
        <v>2</v>
      </c>
      <c r="J162" s="830"/>
      <c r="K162" s="830"/>
      <c r="L162" s="831">
        <v>2</v>
      </c>
      <c r="M162" s="831">
        <v>2</v>
      </c>
      <c r="N162" s="831">
        <v>2</v>
      </c>
      <c r="O162" s="830"/>
      <c r="P162" s="831">
        <v>2</v>
      </c>
      <c r="Q162" s="832">
        <f t="shared" si="2"/>
        <v>10</v>
      </c>
      <c r="R162" s="833" t="s">
        <v>4025</v>
      </c>
      <c r="S162" s="834"/>
      <c r="T162" s="835"/>
      <c r="U162" s="835"/>
      <c r="V162" s="835"/>
      <c r="W162" s="835"/>
      <c r="X162" s="835"/>
      <c r="Y162" s="835"/>
      <c r="Z162" s="835"/>
      <c r="AA162" s="835"/>
      <c r="AB162" s="835"/>
      <c r="AC162" s="835"/>
      <c r="AD162" s="835"/>
      <c r="AE162" s="835"/>
      <c r="AF162" s="835"/>
    </row>
    <row r="163" spans="1:32" ht="63">
      <c r="A163" s="827" t="s">
        <v>3470</v>
      </c>
      <c r="B163" s="828" t="s">
        <v>4022</v>
      </c>
      <c r="C163" s="828" t="s">
        <v>3471</v>
      </c>
      <c r="D163" s="829" t="s">
        <v>3472</v>
      </c>
      <c r="E163" s="830" t="s">
        <v>4794</v>
      </c>
      <c r="F163" s="830" t="s">
        <v>4794</v>
      </c>
      <c r="G163" s="830" t="s">
        <v>4794</v>
      </c>
      <c r="H163" s="831">
        <v>3</v>
      </c>
      <c r="I163" s="830" t="s">
        <v>4794</v>
      </c>
      <c r="J163" s="830" t="s">
        <v>4794</v>
      </c>
      <c r="K163" s="830" t="s">
        <v>4794</v>
      </c>
      <c r="L163" s="830" t="s">
        <v>4794</v>
      </c>
      <c r="M163" s="831">
        <v>3</v>
      </c>
      <c r="N163" s="830" t="s">
        <v>4794</v>
      </c>
      <c r="O163" s="830" t="s">
        <v>4794</v>
      </c>
      <c r="P163" s="830" t="s">
        <v>4794</v>
      </c>
      <c r="Q163" s="832">
        <f t="shared" si="2"/>
        <v>6</v>
      </c>
      <c r="R163" s="833" t="s">
        <v>4025</v>
      </c>
      <c r="S163" s="834"/>
      <c r="T163" s="835"/>
      <c r="U163" s="835"/>
      <c r="V163" s="835"/>
      <c r="W163" s="835"/>
      <c r="X163" s="835"/>
      <c r="Y163" s="835"/>
      <c r="Z163" s="835"/>
      <c r="AA163" s="835"/>
      <c r="AB163" s="835"/>
      <c r="AC163" s="835"/>
      <c r="AD163" s="835"/>
      <c r="AE163" s="835"/>
      <c r="AF163" s="835"/>
    </row>
    <row r="164" spans="1:32" ht="21">
      <c r="A164" s="827" t="s">
        <v>3473</v>
      </c>
      <c r="B164" s="828" t="s">
        <v>4022</v>
      </c>
      <c r="C164" s="828" t="s">
        <v>3474</v>
      </c>
      <c r="D164" s="829" t="s">
        <v>3475</v>
      </c>
      <c r="E164" s="830"/>
      <c r="F164" s="831">
        <v>5</v>
      </c>
      <c r="G164" s="830"/>
      <c r="H164" s="831">
        <v>5</v>
      </c>
      <c r="I164" s="830"/>
      <c r="J164" s="831">
        <v>5</v>
      </c>
      <c r="K164" s="830"/>
      <c r="L164" s="830"/>
      <c r="M164" s="830"/>
      <c r="N164" s="830" t="s">
        <v>4794</v>
      </c>
      <c r="O164" s="831">
        <v>5</v>
      </c>
      <c r="P164" s="831">
        <v>5</v>
      </c>
      <c r="Q164" s="832">
        <f t="shared" si="2"/>
        <v>25</v>
      </c>
      <c r="R164" s="833" t="s">
        <v>4025</v>
      </c>
      <c r="S164" s="834"/>
      <c r="T164" s="835"/>
      <c r="U164" s="835"/>
      <c r="V164" s="835"/>
      <c r="W164" s="835"/>
      <c r="X164" s="835"/>
      <c r="Y164" s="835"/>
      <c r="Z164" s="835"/>
      <c r="AA164" s="835"/>
      <c r="AB164" s="835"/>
      <c r="AC164" s="835"/>
      <c r="AD164" s="835"/>
      <c r="AE164" s="835"/>
      <c r="AF164" s="835"/>
    </row>
    <row r="165" spans="1:32" ht="42">
      <c r="A165" s="827" t="s">
        <v>3476</v>
      </c>
      <c r="B165" s="828" t="s">
        <v>4022</v>
      </c>
      <c r="C165" s="828" t="s">
        <v>3477</v>
      </c>
      <c r="D165" s="829" t="s">
        <v>3478</v>
      </c>
      <c r="E165" s="830"/>
      <c r="F165" s="830" t="s">
        <v>4794</v>
      </c>
      <c r="G165" s="830"/>
      <c r="H165" s="831">
        <v>1</v>
      </c>
      <c r="I165" s="831">
        <v>1</v>
      </c>
      <c r="J165" s="831">
        <v>1</v>
      </c>
      <c r="K165" s="830" t="s">
        <v>4794</v>
      </c>
      <c r="L165" s="830"/>
      <c r="M165" s="830" t="s">
        <v>4794</v>
      </c>
      <c r="N165" s="831">
        <v>1</v>
      </c>
      <c r="O165" s="830" t="s">
        <v>4794</v>
      </c>
      <c r="P165" s="831">
        <v>1</v>
      </c>
      <c r="Q165" s="832">
        <f t="shared" si="2"/>
        <v>5</v>
      </c>
      <c r="R165" s="833" t="s">
        <v>4025</v>
      </c>
      <c r="S165" s="834"/>
      <c r="T165" s="835"/>
      <c r="U165" s="835"/>
      <c r="V165" s="835"/>
      <c r="W165" s="835"/>
      <c r="X165" s="835"/>
      <c r="Y165" s="835"/>
      <c r="Z165" s="835"/>
      <c r="AA165" s="835"/>
      <c r="AB165" s="835"/>
      <c r="AC165" s="835"/>
      <c r="AD165" s="835"/>
      <c r="AE165" s="835"/>
      <c r="AF165" s="835"/>
    </row>
    <row r="166" spans="1:32" ht="42">
      <c r="A166" s="827" t="s">
        <v>3479</v>
      </c>
      <c r="B166" s="828" t="s">
        <v>4022</v>
      </c>
      <c r="C166" s="828" t="s">
        <v>3480</v>
      </c>
      <c r="D166" s="829" t="s">
        <v>3481</v>
      </c>
      <c r="E166" s="830" t="s">
        <v>4794</v>
      </c>
      <c r="F166" s="830" t="s">
        <v>4794</v>
      </c>
      <c r="G166" s="831">
        <v>1</v>
      </c>
      <c r="H166" s="830" t="s">
        <v>4794</v>
      </c>
      <c r="I166" s="830"/>
      <c r="J166" s="831">
        <v>1</v>
      </c>
      <c r="K166" s="831">
        <v>1</v>
      </c>
      <c r="L166" s="830" t="s">
        <v>4794</v>
      </c>
      <c r="M166" s="830"/>
      <c r="N166" s="830" t="s">
        <v>4794</v>
      </c>
      <c r="O166" s="831">
        <v>1</v>
      </c>
      <c r="P166" s="831">
        <v>1</v>
      </c>
      <c r="Q166" s="832">
        <f t="shared" si="2"/>
        <v>5</v>
      </c>
      <c r="R166" s="833" t="s">
        <v>4025</v>
      </c>
      <c r="S166" s="834"/>
      <c r="T166" s="835"/>
      <c r="U166" s="835"/>
      <c r="V166" s="835"/>
      <c r="W166" s="835"/>
      <c r="X166" s="835"/>
      <c r="Y166" s="835"/>
      <c r="Z166" s="835"/>
      <c r="AA166" s="835"/>
      <c r="AB166" s="835"/>
      <c r="AC166" s="835"/>
      <c r="AD166" s="835"/>
      <c r="AE166" s="835"/>
      <c r="AF166" s="835"/>
    </row>
    <row r="167" spans="1:32" ht="42">
      <c r="A167" s="827" t="s">
        <v>3482</v>
      </c>
      <c r="B167" s="828" t="s">
        <v>4022</v>
      </c>
      <c r="C167" s="828" t="s">
        <v>3483</v>
      </c>
      <c r="D167" s="829" t="s">
        <v>3484</v>
      </c>
      <c r="E167" s="830" t="s">
        <v>4794</v>
      </c>
      <c r="F167" s="830"/>
      <c r="G167" s="830" t="s">
        <v>4794</v>
      </c>
      <c r="H167" s="831">
        <v>1</v>
      </c>
      <c r="I167" s="830" t="s">
        <v>4794</v>
      </c>
      <c r="J167" s="830"/>
      <c r="K167" s="831">
        <v>1</v>
      </c>
      <c r="L167" s="831">
        <v>1</v>
      </c>
      <c r="M167" s="830" t="s">
        <v>4794</v>
      </c>
      <c r="N167" s="830"/>
      <c r="O167" s="831">
        <v>1</v>
      </c>
      <c r="P167" s="830"/>
      <c r="Q167" s="832">
        <f t="shared" si="2"/>
        <v>4</v>
      </c>
      <c r="R167" s="833" t="s">
        <v>4025</v>
      </c>
      <c r="S167" s="834"/>
      <c r="T167" s="835"/>
      <c r="U167" s="835"/>
      <c r="V167" s="835"/>
      <c r="W167" s="835"/>
      <c r="X167" s="835"/>
      <c r="Y167" s="835"/>
      <c r="Z167" s="835"/>
      <c r="AA167" s="835"/>
      <c r="AB167" s="835"/>
      <c r="AC167" s="835"/>
      <c r="AD167" s="835"/>
      <c r="AE167" s="835"/>
      <c r="AF167" s="835"/>
    </row>
    <row r="168" spans="1:32" ht="52.5">
      <c r="A168" s="827" t="s">
        <v>3485</v>
      </c>
      <c r="B168" s="828" t="s">
        <v>4022</v>
      </c>
      <c r="C168" s="828" t="s">
        <v>3486</v>
      </c>
      <c r="D168" s="829" t="s">
        <v>3487</v>
      </c>
      <c r="E168" s="830" t="s">
        <v>4794</v>
      </c>
      <c r="F168" s="830" t="s">
        <v>4794</v>
      </c>
      <c r="G168" s="830"/>
      <c r="H168" s="830" t="s">
        <v>4794</v>
      </c>
      <c r="I168" s="831">
        <v>1</v>
      </c>
      <c r="J168" s="830"/>
      <c r="K168" s="831">
        <v>1</v>
      </c>
      <c r="L168" s="831">
        <v>1</v>
      </c>
      <c r="M168" s="830"/>
      <c r="N168" s="830" t="s">
        <v>4794</v>
      </c>
      <c r="O168" s="830" t="s">
        <v>4794</v>
      </c>
      <c r="P168" s="830"/>
      <c r="Q168" s="832">
        <f t="shared" si="2"/>
        <v>3</v>
      </c>
      <c r="R168" s="833" t="s">
        <v>4025</v>
      </c>
      <c r="S168" s="834"/>
      <c r="T168" s="835"/>
      <c r="U168" s="835"/>
      <c r="V168" s="835"/>
      <c r="W168" s="835"/>
      <c r="X168" s="835"/>
      <c r="Y168" s="835"/>
      <c r="Z168" s="835"/>
      <c r="AA168" s="835"/>
      <c r="AB168" s="835"/>
      <c r="AC168" s="835"/>
      <c r="AD168" s="835"/>
      <c r="AE168" s="835"/>
      <c r="AF168" s="835"/>
    </row>
    <row r="169" spans="1:32" ht="31.5">
      <c r="A169" s="827" t="s">
        <v>3488</v>
      </c>
      <c r="B169" s="828" t="s">
        <v>4022</v>
      </c>
      <c r="C169" s="828" t="s">
        <v>3489</v>
      </c>
      <c r="D169" s="829" t="s">
        <v>3490</v>
      </c>
      <c r="E169" s="831">
        <v>10</v>
      </c>
      <c r="F169" s="831">
        <v>5</v>
      </c>
      <c r="G169" s="831">
        <v>5</v>
      </c>
      <c r="H169" s="831">
        <v>5</v>
      </c>
      <c r="I169" s="831">
        <v>5</v>
      </c>
      <c r="J169" s="831">
        <v>5</v>
      </c>
      <c r="K169" s="831">
        <v>5</v>
      </c>
      <c r="L169" s="831">
        <v>10</v>
      </c>
      <c r="M169" s="831">
        <v>10</v>
      </c>
      <c r="N169" s="831">
        <v>5</v>
      </c>
      <c r="O169" s="831">
        <v>5</v>
      </c>
      <c r="P169" s="831">
        <v>5</v>
      </c>
      <c r="Q169" s="832">
        <f t="shared" si="2"/>
        <v>75</v>
      </c>
      <c r="R169" s="833" t="s">
        <v>4025</v>
      </c>
      <c r="S169" s="836"/>
      <c r="T169" s="852"/>
      <c r="U169" s="852"/>
      <c r="V169" s="852"/>
      <c r="W169" s="852"/>
      <c r="X169" s="852"/>
      <c r="Y169" s="852"/>
      <c r="Z169" s="852"/>
      <c r="AA169" s="852"/>
      <c r="AB169" s="852"/>
      <c r="AC169" s="852"/>
      <c r="AD169" s="852"/>
      <c r="AE169" s="852"/>
      <c r="AF169" s="835"/>
    </row>
    <row r="170" spans="1:32" ht="21">
      <c r="A170" s="827" t="s">
        <v>3491</v>
      </c>
      <c r="B170" s="828" t="s">
        <v>4022</v>
      </c>
      <c r="C170" s="828" t="s">
        <v>3492</v>
      </c>
      <c r="D170" s="829" t="s">
        <v>3493</v>
      </c>
      <c r="E170" s="830" t="s">
        <v>4794</v>
      </c>
      <c r="F170" s="830" t="s">
        <v>4794</v>
      </c>
      <c r="G170" s="830" t="s">
        <v>4794</v>
      </c>
      <c r="H170" s="831">
        <v>200</v>
      </c>
      <c r="I170" s="830" t="s">
        <v>4794</v>
      </c>
      <c r="J170" s="831">
        <v>200</v>
      </c>
      <c r="K170" s="830" t="s">
        <v>4794</v>
      </c>
      <c r="L170" s="830" t="s">
        <v>4794</v>
      </c>
      <c r="M170" s="830" t="s">
        <v>4794</v>
      </c>
      <c r="N170" s="830" t="s">
        <v>4794</v>
      </c>
      <c r="O170" s="830" t="s">
        <v>4794</v>
      </c>
      <c r="P170" s="830" t="s">
        <v>4794</v>
      </c>
      <c r="Q170" s="832">
        <f t="shared" si="2"/>
        <v>400</v>
      </c>
      <c r="R170" s="833" t="s">
        <v>4025</v>
      </c>
      <c r="S170" s="836"/>
      <c r="T170" s="852"/>
      <c r="U170" s="852"/>
      <c r="V170" s="852"/>
      <c r="W170" s="852"/>
      <c r="X170" s="852"/>
      <c r="Y170" s="852"/>
      <c r="Z170" s="852"/>
      <c r="AA170" s="852"/>
      <c r="AB170" s="852"/>
      <c r="AC170" s="852"/>
      <c r="AD170" s="852"/>
      <c r="AE170" s="852"/>
      <c r="AF170" s="835"/>
    </row>
    <row r="171" spans="1:32" ht="52.5">
      <c r="A171" s="827" t="s">
        <v>3494</v>
      </c>
      <c r="B171" s="828" t="s">
        <v>4022</v>
      </c>
      <c r="C171" s="828" t="s">
        <v>3495</v>
      </c>
      <c r="D171" s="829" t="s">
        <v>3496</v>
      </c>
      <c r="E171" s="831">
        <v>5</v>
      </c>
      <c r="F171" s="831">
        <v>5</v>
      </c>
      <c r="G171" s="831">
        <v>5</v>
      </c>
      <c r="H171" s="831">
        <v>5</v>
      </c>
      <c r="I171" s="831">
        <v>5</v>
      </c>
      <c r="J171" s="831">
        <v>5</v>
      </c>
      <c r="K171" s="831">
        <v>5</v>
      </c>
      <c r="L171" s="831">
        <v>5</v>
      </c>
      <c r="M171" s="831">
        <v>5</v>
      </c>
      <c r="N171" s="831">
        <v>5</v>
      </c>
      <c r="O171" s="831">
        <v>5</v>
      </c>
      <c r="P171" s="831">
        <v>5</v>
      </c>
      <c r="Q171" s="832">
        <f t="shared" si="2"/>
        <v>60</v>
      </c>
      <c r="R171" s="833" t="s">
        <v>4025</v>
      </c>
      <c r="S171" s="834"/>
      <c r="T171" s="835"/>
      <c r="U171" s="835"/>
      <c r="V171" s="835"/>
      <c r="W171" s="835"/>
      <c r="X171" s="835"/>
      <c r="Y171" s="835"/>
      <c r="Z171" s="835"/>
      <c r="AA171" s="835"/>
      <c r="AB171" s="835"/>
      <c r="AC171" s="835"/>
      <c r="AD171" s="835"/>
      <c r="AE171" s="835"/>
      <c r="AF171" s="835"/>
    </row>
    <row r="172" spans="1:32" ht="52.5">
      <c r="A172" s="827" t="s">
        <v>3497</v>
      </c>
      <c r="B172" s="828" t="s">
        <v>4022</v>
      </c>
      <c r="C172" s="828" t="s">
        <v>3498</v>
      </c>
      <c r="D172" s="829" t="s">
        <v>3499</v>
      </c>
      <c r="E172" s="831">
        <v>5</v>
      </c>
      <c r="F172" s="831">
        <v>5</v>
      </c>
      <c r="G172" s="831">
        <v>5</v>
      </c>
      <c r="H172" s="831">
        <v>5</v>
      </c>
      <c r="I172" s="831">
        <v>5</v>
      </c>
      <c r="J172" s="831">
        <v>5</v>
      </c>
      <c r="K172" s="831">
        <v>5</v>
      </c>
      <c r="L172" s="831">
        <v>5</v>
      </c>
      <c r="M172" s="831">
        <v>5</v>
      </c>
      <c r="N172" s="831">
        <v>5</v>
      </c>
      <c r="O172" s="831">
        <v>5</v>
      </c>
      <c r="P172" s="831">
        <v>5</v>
      </c>
      <c r="Q172" s="832">
        <f t="shared" si="2"/>
        <v>60</v>
      </c>
      <c r="R172" s="833" t="s">
        <v>4025</v>
      </c>
      <c r="S172" s="834"/>
      <c r="T172" s="835"/>
      <c r="U172" s="835"/>
      <c r="V172" s="835"/>
      <c r="W172" s="835"/>
      <c r="X172" s="835"/>
      <c r="Y172" s="835"/>
      <c r="Z172" s="835"/>
      <c r="AA172" s="835"/>
      <c r="AB172" s="835"/>
      <c r="AC172" s="835"/>
      <c r="AD172" s="835"/>
      <c r="AE172" s="835"/>
      <c r="AF172" s="835"/>
    </row>
    <row r="173" spans="1:32" ht="21">
      <c r="A173" s="827" t="s">
        <v>3500</v>
      </c>
      <c r="B173" s="828" t="s">
        <v>4022</v>
      </c>
      <c r="C173" s="828" t="s">
        <v>3501</v>
      </c>
      <c r="D173" s="829" t="s">
        <v>3502</v>
      </c>
      <c r="E173" s="830" t="s">
        <v>4794</v>
      </c>
      <c r="F173" s="830" t="s">
        <v>4794</v>
      </c>
      <c r="G173" s="830" t="s">
        <v>4794</v>
      </c>
      <c r="H173" s="831">
        <v>1</v>
      </c>
      <c r="I173" s="831">
        <v>1</v>
      </c>
      <c r="J173" s="831">
        <v>1</v>
      </c>
      <c r="K173" s="831">
        <v>1</v>
      </c>
      <c r="L173" s="830" t="s">
        <v>4794</v>
      </c>
      <c r="M173" s="830" t="s">
        <v>4794</v>
      </c>
      <c r="N173" s="830" t="s">
        <v>4794</v>
      </c>
      <c r="O173" s="830" t="s">
        <v>4794</v>
      </c>
      <c r="P173" s="830" t="s">
        <v>4794</v>
      </c>
      <c r="Q173" s="832">
        <f t="shared" si="2"/>
        <v>4</v>
      </c>
      <c r="R173" s="833" t="s">
        <v>4025</v>
      </c>
      <c r="S173" s="834"/>
      <c r="T173" s="835"/>
      <c r="U173" s="835"/>
      <c r="V173" s="835"/>
      <c r="W173" s="835"/>
      <c r="X173" s="835"/>
      <c r="Y173" s="835"/>
      <c r="Z173" s="835"/>
      <c r="AA173" s="835"/>
      <c r="AB173" s="835"/>
      <c r="AC173" s="835"/>
      <c r="AD173" s="835"/>
      <c r="AE173" s="835"/>
      <c r="AF173" s="835"/>
    </row>
    <row r="174" spans="1:32" ht="21">
      <c r="A174" s="827" t="s">
        <v>3503</v>
      </c>
      <c r="B174" s="828" t="s">
        <v>4022</v>
      </c>
      <c r="C174" s="828" t="s">
        <v>3504</v>
      </c>
      <c r="D174" s="829" t="s">
        <v>3505</v>
      </c>
      <c r="E174" s="830" t="s">
        <v>4794</v>
      </c>
      <c r="F174" s="830" t="s">
        <v>4794</v>
      </c>
      <c r="G174" s="830" t="s">
        <v>4794</v>
      </c>
      <c r="H174" s="831">
        <v>1</v>
      </c>
      <c r="I174" s="831">
        <v>1</v>
      </c>
      <c r="J174" s="830" t="s">
        <v>4794</v>
      </c>
      <c r="K174" s="831">
        <v>1</v>
      </c>
      <c r="L174" s="830" t="s">
        <v>4794</v>
      </c>
      <c r="M174" s="830" t="s">
        <v>4794</v>
      </c>
      <c r="N174" s="830" t="s">
        <v>4794</v>
      </c>
      <c r="O174" s="830" t="s">
        <v>4794</v>
      </c>
      <c r="P174" s="830" t="s">
        <v>4794</v>
      </c>
      <c r="Q174" s="832">
        <f t="shared" si="2"/>
        <v>3</v>
      </c>
      <c r="R174" s="833" t="s">
        <v>4025</v>
      </c>
      <c r="S174" s="834"/>
      <c r="T174" s="835"/>
      <c r="U174" s="835"/>
      <c r="V174" s="835"/>
      <c r="W174" s="835"/>
      <c r="X174" s="835"/>
      <c r="Y174" s="835"/>
      <c r="Z174" s="835"/>
      <c r="AA174" s="835"/>
      <c r="AB174" s="835"/>
      <c r="AC174" s="835"/>
      <c r="AD174" s="835"/>
      <c r="AE174" s="835"/>
      <c r="AF174" s="835"/>
    </row>
    <row r="175" spans="1:32" ht="21">
      <c r="A175" s="827" t="s">
        <v>3506</v>
      </c>
      <c r="B175" s="828" t="s">
        <v>4022</v>
      </c>
      <c r="C175" s="828" t="s">
        <v>3507</v>
      </c>
      <c r="D175" s="829" t="s">
        <v>3508</v>
      </c>
      <c r="E175" s="830" t="s">
        <v>4794</v>
      </c>
      <c r="F175" s="830" t="s">
        <v>4794</v>
      </c>
      <c r="G175" s="830" t="s">
        <v>4794</v>
      </c>
      <c r="H175" s="831">
        <v>1</v>
      </c>
      <c r="I175" s="831">
        <v>1</v>
      </c>
      <c r="J175" s="831">
        <v>1</v>
      </c>
      <c r="K175" s="831">
        <v>1</v>
      </c>
      <c r="L175" s="830" t="s">
        <v>4794</v>
      </c>
      <c r="M175" s="830" t="s">
        <v>4794</v>
      </c>
      <c r="N175" s="830" t="s">
        <v>4794</v>
      </c>
      <c r="O175" s="830" t="s">
        <v>4794</v>
      </c>
      <c r="P175" s="830" t="s">
        <v>4794</v>
      </c>
      <c r="Q175" s="832">
        <f t="shared" si="2"/>
        <v>4</v>
      </c>
      <c r="R175" s="833" t="s">
        <v>4025</v>
      </c>
      <c r="S175" s="834"/>
      <c r="T175" s="835"/>
      <c r="U175" s="835"/>
      <c r="V175" s="835"/>
      <c r="W175" s="835"/>
      <c r="X175" s="835"/>
      <c r="Y175" s="835"/>
      <c r="Z175" s="835"/>
      <c r="AA175" s="835"/>
      <c r="AB175" s="835"/>
      <c r="AC175" s="835"/>
      <c r="AD175" s="835"/>
      <c r="AE175" s="835"/>
      <c r="AF175" s="835"/>
    </row>
    <row r="176" spans="1:32" ht="42">
      <c r="A176" s="827" t="s">
        <v>3509</v>
      </c>
      <c r="B176" s="828" t="s">
        <v>4022</v>
      </c>
      <c r="C176" s="828" t="s">
        <v>3510</v>
      </c>
      <c r="D176" s="829" t="s">
        <v>3511</v>
      </c>
      <c r="E176" s="830" t="s">
        <v>4794</v>
      </c>
      <c r="F176" s="831">
        <v>2</v>
      </c>
      <c r="G176" s="830" t="s">
        <v>4794</v>
      </c>
      <c r="H176" s="831">
        <v>2</v>
      </c>
      <c r="I176" s="831">
        <v>2</v>
      </c>
      <c r="J176" s="830" t="s">
        <v>4794</v>
      </c>
      <c r="K176" s="831">
        <v>2</v>
      </c>
      <c r="L176" s="830" t="s">
        <v>4794</v>
      </c>
      <c r="M176" s="831">
        <v>2</v>
      </c>
      <c r="N176" s="830" t="s">
        <v>4794</v>
      </c>
      <c r="O176" s="831">
        <v>2</v>
      </c>
      <c r="P176" s="831">
        <v>1</v>
      </c>
      <c r="Q176" s="832">
        <f t="shared" si="2"/>
        <v>13</v>
      </c>
      <c r="R176" s="833" t="s">
        <v>4025</v>
      </c>
      <c r="S176" s="834"/>
      <c r="T176" s="835"/>
      <c r="U176" s="835"/>
      <c r="V176" s="835"/>
      <c r="W176" s="835"/>
      <c r="X176" s="835"/>
      <c r="Y176" s="835"/>
      <c r="Z176" s="835"/>
      <c r="AA176" s="835"/>
      <c r="AB176" s="835"/>
      <c r="AC176" s="835"/>
      <c r="AD176" s="835"/>
      <c r="AE176" s="835"/>
      <c r="AF176" s="835"/>
    </row>
    <row r="177" spans="1:32" ht="42">
      <c r="A177" s="827" t="s">
        <v>3512</v>
      </c>
      <c r="B177" s="828" t="s">
        <v>4022</v>
      </c>
      <c r="C177" s="828" t="s">
        <v>3513</v>
      </c>
      <c r="D177" s="829" t="s">
        <v>3514</v>
      </c>
      <c r="E177" s="830" t="s">
        <v>4794</v>
      </c>
      <c r="F177" s="831">
        <v>1</v>
      </c>
      <c r="G177" s="830" t="s">
        <v>4794</v>
      </c>
      <c r="H177" s="831">
        <v>2</v>
      </c>
      <c r="I177" s="831">
        <v>1</v>
      </c>
      <c r="J177" s="830" t="s">
        <v>4794</v>
      </c>
      <c r="K177" s="830" t="s">
        <v>4794</v>
      </c>
      <c r="L177" s="831">
        <v>1</v>
      </c>
      <c r="M177" s="830" t="s">
        <v>4794</v>
      </c>
      <c r="N177" s="831">
        <v>1</v>
      </c>
      <c r="O177" s="830" t="s">
        <v>4794</v>
      </c>
      <c r="P177" s="831">
        <v>1</v>
      </c>
      <c r="Q177" s="832">
        <f t="shared" si="2"/>
        <v>7</v>
      </c>
      <c r="R177" s="833" t="s">
        <v>4025</v>
      </c>
      <c r="S177" s="834"/>
      <c r="T177" s="835"/>
      <c r="U177" s="835"/>
      <c r="V177" s="835"/>
      <c r="W177" s="835"/>
      <c r="X177" s="835"/>
      <c r="Y177" s="835"/>
      <c r="Z177" s="835"/>
      <c r="AA177" s="835"/>
      <c r="AB177" s="835"/>
      <c r="AC177" s="835"/>
      <c r="AD177" s="835"/>
      <c r="AE177" s="835"/>
      <c r="AF177" s="835"/>
    </row>
    <row r="178" spans="1:32" ht="31.5">
      <c r="A178" s="827" t="s">
        <v>3515</v>
      </c>
      <c r="B178" s="828" t="s">
        <v>4022</v>
      </c>
      <c r="C178" s="828" t="s">
        <v>3516</v>
      </c>
      <c r="D178" s="829" t="s">
        <v>3517</v>
      </c>
      <c r="E178" s="830" t="s">
        <v>4794</v>
      </c>
      <c r="F178" s="831">
        <v>1</v>
      </c>
      <c r="G178" s="830" t="s">
        <v>4794</v>
      </c>
      <c r="H178" s="831">
        <v>1</v>
      </c>
      <c r="I178" s="831">
        <v>2</v>
      </c>
      <c r="J178" s="830" t="s">
        <v>4794</v>
      </c>
      <c r="K178" s="830"/>
      <c r="L178" s="830" t="s">
        <v>4794</v>
      </c>
      <c r="M178" s="830"/>
      <c r="N178" s="830" t="s">
        <v>4794</v>
      </c>
      <c r="O178" s="831">
        <v>1</v>
      </c>
      <c r="P178" s="830" t="s">
        <v>4794</v>
      </c>
      <c r="Q178" s="832">
        <f t="shared" si="2"/>
        <v>5</v>
      </c>
      <c r="R178" s="833" t="s">
        <v>4025</v>
      </c>
      <c r="S178" s="834"/>
      <c r="T178" s="835"/>
      <c r="U178" s="835"/>
      <c r="V178" s="835"/>
      <c r="W178" s="835"/>
      <c r="X178" s="835"/>
      <c r="Y178" s="835"/>
      <c r="Z178" s="835"/>
      <c r="AA178" s="835"/>
      <c r="AB178" s="835"/>
      <c r="AC178" s="835"/>
      <c r="AD178" s="835"/>
      <c r="AE178" s="835"/>
      <c r="AF178" s="835"/>
    </row>
    <row r="179" spans="1:32" ht="42">
      <c r="A179" s="827" t="s">
        <v>3518</v>
      </c>
      <c r="B179" s="828" t="s">
        <v>4022</v>
      </c>
      <c r="C179" s="828" t="s">
        <v>3519</v>
      </c>
      <c r="D179" s="829" t="s">
        <v>3520</v>
      </c>
      <c r="E179" s="830"/>
      <c r="F179" s="830" t="s">
        <v>4794</v>
      </c>
      <c r="G179" s="831">
        <v>6</v>
      </c>
      <c r="H179" s="831">
        <v>6</v>
      </c>
      <c r="I179" s="830" t="s">
        <v>4794</v>
      </c>
      <c r="J179" s="830"/>
      <c r="K179" s="830" t="s">
        <v>4794</v>
      </c>
      <c r="L179" s="830" t="s">
        <v>4794</v>
      </c>
      <c r="M179" s="830"/>
      <c r="N179" s="831">
        <v>6</v>
      </c>
      <c r="O179" s="830" t="s">
        <v>4794</v>
      </c>
      <c r="P179" s="830" t="s">
        <v>4794</v>
      </c>
      <c r="Q179" s="832">
        <f t="shared" si="2"/>
        <v>18</v>
      </c>
      <c r="R179" s="833" t="s">
        <v>4025</v>
      </c>
      <c r="S179" s="834"/>
      <c r="T179" s="835"/>
      <c r="U179" s="835"/>
      <c r="V179" s="835"/>
      <c r="W179" s="835"/>
      <c r="X179" s="835"/>
      <c r="Y179" s="835"/>
      <c r="Z179" s="835"/>
      <c r="AA179" s="835"/>
      <c r="AB179" s="835"/>
      <c r="AC179" s="835"/>
      <c r="AD179" s="835"/>
      <c r="AE179" s="835"/>
      <c r="AF179" s="835"/>
    </row>
    <row r="180" spans="1:32" ht="31.5">
      <c r="A180" s="827" t="s">
        <v>3521</v>
      </c>
      <c r="B180" s="828" t="s">
        <v>4022</v>
      </c>
      <c r="C180" s="828" t="s">
        <v>3522</v>
      </c>
      <c r="D180" s="829" t="s">
        <v>3523</v>
      </c>
      <c r="E180" s="830"/>
      <c r="F180" s="830" t="s">
        <v>4794</v>
      </c>
      <c r="G180" s="831">
        <v>1</v>
      </c>
      <c r="H180" s="830" t="s">
        <v>4794</v>
      </c>
      <c r="I180" s="830" t="s">
        <v>4794</v>
      </c>
      <c r="J180" s="831">
        <v>1</v>
      </c>
      <c r="K180" s="830" t="s">
        <v>4794</v>
      </c>
      <c r="L180" s="831">
        <v>1</v>
      </c>
      <c r="M180" s="830" t="s">
        <v>4794</v>
      </c>
      <c r="N180" s="830" t="s">
        <v>4794</v>
      </c>
      <c r="O180" s="830" t="s">
        <v>4794</v>
      </c>
      <c r="P180" s="830" t="s">
        <v>4794</v>
      </c>
      <c r="Q180" s="832">
        <f t="shared" si="2"/>
        <v>3</v>
      </c>
      <c r="R180" s="833" t="s">
        <v>4025</v>
      </c>
      <c r="S180" s="834"/>
      <c r="T180" s="835"/>
      <c r="U180" s="835"/>
      <c r="V180" s="835"/>
      <c r="W180" s="835"/>
      <c r="X180" s="835"/>
      <c r="Y180" s="835"/>
      <c r="Z180" s="835"/>
      <c r="AA180" s="835"/>
      <c r="AB180" s="835"/>
      <c r="AC180" s="835"/>
      <c r="AD180" s="835"/>
      <c r="AE180" s="835"/>
      <c r="AF180" s="835"/>
    </row>
    <row r="181" spans="1:32" ht="21">
      <c r="A181" s="827" t="s">
        <v>3524</v>
      </c>
      <c r="B181" s="828" t="s">
        <v>4022</v>
      </c>
      <c r="C181" s="828" t="s">
        <v>3525</v>
      </c>
      <c r="D181" s="829" t="s">
        <v>3526</v>
      </c>
      <c r="E181" s="830" t="s">
        <v>4794</v>
      </c>
      <c r="F181" s="830" t="s">
        <v>4794</v>
      </c>
      <c r="G181" s="830"/>
      <c r="H181" s="830"/>
      <c r="I181" s="831">
        <v>1</v>
      </c>
      <c r="J181" s="830"/>
      <c r="K181" s="830"/>
      <c r="L181" s="830"/>
      <c r="M181" s="830"/>
      <c r="N181" s="830"/>
      <c r="O181" s="830"/>
      <c r="P181" s="830" t="s">
        <v>4794</v>
      </c>
      <c r="Q181" s="832">
        <f t="shared" si="2"/>
        <v>1</v>
      </c>
      <c r="R181" s="833" t="s">
        <v>4025</v>
      </c>
      <c r="S181" s="834"/>
      <c r="T181" s="835"/>
      <c r="U181" s="835"/>
      <c r="V181" s="835"/>
      <c r="W181" s="835"/>
      <c r="X181" s="835"/>
      <c r="Y181" s="835"/>
      <c r="Z181" s="835"/>
      <c r="AA181" s="835"/>
      <c r="AB181" s="835"/>
      <c r="AC181" s="835"/>
      <c r="AD181" s="835"/>
      <c r="AE181" s="835"/>
      <c r="AF181" s="835"/>
    </row>
    <row r="182" spans="1:32" ht="21">
      <c r="A182" s="827" t="s">
        <v>3527</v>
      </c>
      <c r="B182" s="828" t="s">
        <v>4022</v>
      </c>
      <c r="C182" s="828" t="s">
        <v>3528</v>
      </c>
      <c r="D182" s="829" t="s">
        <v>3529</v>
      </c>
      <c r="E182" s="830" t="s">
        <v>4794</v>
      </c>
      <c r="F182" s="830" t="s">
        <v>4794</v>
      </c>
      <c r="G182" s="830" t="s">
        <v>4794</v>
      </c>
      <c r="H182" s="830" t="s">
        <v>4794</v>
      </c>
      <c r="I182" s="830"/>
      <c r="J182" s="830" t="s">
        <v>4794</v>
      </c>
      <c r="K182" s="831">
        <v>1</v>
      </c>
      <c r="L182" s="830"/>
      <c r="M182" s="830" t="s">
        <v>4794</v>
      </c>
      <c r="N182" s="830" t="s">
        <v>4794</v>
      </c>
      <c r="O182" s="830" t="s">
        <v>4794</v>
      </c>
      <c r="P182" s="830" t="s">
        <v>4794</v>
      </c>
      <c r="Q182" s="832">
        <f t="shared" si="2"/>
        <v>1</v>
      </c>
      <c r="R182" s="833" t="s">
        <v>4025</v>
      </c>
      <c r="S182" s="834"/>
      <c r="T182" s="835"/>
      <c r="U182" s="835"/>
      <c r="V182" s="835"/>
      <c r="W182" s="835"/>
      <c r="X182" s="835"/>
      <c r="Y182" s="835"/>
      <c r="Z182" s="835"/>
      <c r="AA182" s="835"/>
      <c r="AB182" s="835"/>
      <c r="AC182" s="835"/>
      <c r="AD182" s="835"/>
      <c r="AE182" s="835"/>
      <c r="AF182" s="835"/>
    </row>
    <row r="183" spans="1:32" ht="21">
      <c r="A183" s="827" t="s">
        <v>3530</v>
      </c>
      <c r="B183" s="828" t="s">
        <v>4022</v>
      </c>
      <c r="C183" s="828">
        <v>9107664</v>
      </c>
      <c r="D183" s="829" t="s">
        <v>3531</v>
      </c>
      <c r="E183" s="830"/>
      <c r="F183" s="830"/>
      <c r="G183" s="830"/>
      <c r="H183" s="830"/>
      <c r="I183" s="830"/>
      <c r="J183" s="830"/>
      <c r="K183" s="831">
        <v>1</v>
      </c>
      <c r="L183" s="830"/>
      <c r="M183" s="830"/>
      <c r="N183" s="830"/>
      <c r="O183" s="830"/>
      <c r="P183" s="830"/>
      <c r="Q183" s="832">
        <f>SUM(E183:P183)</f>
        <v>1</v>
      </c>
      <c r="R183" s="833" t="s">
        <v>4025</v>
      </c>
      <c r="S183" s="834"/>
      <c r="T183" s="835"/>
      <c r="U183" s="835"/>
      <c r="V183" s="835"/>
      <c r="W183" s="835"/>
      <c r="X183" s="835"/>
      <c r="Y183" s="835"/>
      <c r="Z183" s="835"/>
      <c r="AA183" s="835"/>
      <c r="AB183" s="835"/>
      <c r="AC183" s="835"/>
      <c r="AD183" s="835"/>
      <c r="AE183" s="835"/>
      <c r="AF183" s="835"/>
    </row>
    <row r="184" spans="1:32" ht="42">
      <c r="A184" s="827" t="s">
        <v>3532</v>
      </c>
      <c r="B184" s="828" t="s">
        <v>4022</v>
      </c>
      <c r="C184" s="828">
        <v>9105312</v>
      </c>
      <c r="D184" s="829" t="s">
        <v>3533</v>
      </c>
      <c r="E184" s="830"/>
      <c r="F184" s="830"/>
      <c r="G184" s="830"/>
      <c r="H184" s="830"/>
      <c r="I184" s="830"/>
      <c r="J184" s="830"/>
      <c r="K184" s="831">
        <v>2</v>
      </c>
      <c r="L184" s="830"/>
      <c r="M184" s="830"/>
      <c r="N184" s="830"/>
      <c r="O184" s="830"/>
      <c r="P184" s="830"/>
      <c r="Q184" s="832">
        <f>SUM(E184:P184)</f>
        <v>2</v>
      </c>
      <c r="R184" s="833" t="s">
        <v>4025</v>
      </c>
      <c r="S184" s="834"/>
      <c r="T184" s="835"/>
      <c r="U184" s="835"/>
      <c r="V184" s="835"/>
      <c r="W184" s="835"/>
      <c r="X184" s="835"/>
      <c r="Y184" s="835"/>
      <c r="Z184" s="835"/>
      <c r="AA184" s="835"/>
      <c r="AB184" s="835"/>
      <c r="AC184" s="835"/>
      <c r="AD184" s="835"/>
      <c r="AE184" s="835"/>
      <c r="AF184" s="835"/>
    </row>
    <row r="185" spans="1:32" ht="21">
      <c r="A185" s="827" t="s">
        <v>3534</v>
      </c>
      <c r="B185" s="828" t="s">
        <v>4022</v>
      </c>
      <c r="C185" s="828" t="s">
        <v>3535</v>
      </c>
      <c r="D185" s="829" t="s">
        <v>3536</v>
      </c>
      <c r="E185" s="830" t="s">
        <v>4794</v>
      </c>
      <c r="F185" s="830" t="s">
        <v>4794</v>
      </c>
      <c r="G185" s="830" t="s">
        <v>4794</v>
      </c>
      <c r="H185" s="830" t="s">
        <v>4794</v>
      </c>
      <c r="I185" s="830" t="s">
        <v>4794</v>
      </c>
      <c r="J185" s="831">
        <v>1</v>
      </c>
      <c r="K185" s="830" t="s">
        <v>4794</v>
      </c>
      <c r="L185" s="830" t="s">
        <v>4794</v>
      </c>
      <c r="M185" s="830" t="s">
        <v>4794</v>
      </c>
      <c r="N185" s="830" t="s">
        <v>4794</v>
      </c>
      <c r="O185" s="830" t="s">
        <v>4794</v>
      </c>
      <c r="P185" s="830" t="s">
        <v>4794</v>
      </c>
      <c r="Q185" s="832">
        <f t="shared" si="2"/>
        <v>1</v>
      </c>
      <c r="R185" s="833" t="s">
        <v>4025</v>
      </c>
      <c r="S185" s="834"/>
      <c r="T185" s="835"/>
      <c r="U185" s="835"/>
      <c r="V185" s="835"/>
      <c r="W185" s="835"/>
      <c r="X185" s="835"/>
      <c r="Y185" s="835"/>
      <c r="Z185" s="835"/>
      <c r="AA185" s="835"/>
      <c r="AB185" s="835"/>
      <c r="AC185" s="835"/>
      <c r="AD185" s="835"/>
      <c r="AE185" s="835"/>
      <c r="AF185" s="835"/>
    </row>
    <row r="186" spans="1:32" ht="21">
      <c r="A186" s="827" t="s">
        <v>3537</v>
      </c>
      <c r="B186" s="828" t="s">
        <v>4022</v>
      </c>
      <c r="C186" s="828" t="s">
        <v>3538</v>
      </c>
      <c r="D186" s="829" t="s">
        <v>1588</v>
      </c>
      <c r="E186" s="830" t="s">
        <v>4794</v>
      </c>
      <c r="F186" s="830"/>
      <c r="G186" s="830" t="s">
        <v>4794</v>
      </c>
      <c r="H186" s="830" t="s">
        <v>4794</v>
      </c>
      <c r="I186" s="830" t="s">
        <v>4794</v>
      </c>
      <c r="J186" s="830" t="s">
        <v>4794</v>
      </c>
      <c r="K186" s="830" t="s">
        <v>4794</v>
      </c>
      <c r="L186" s="831">
        <v>1</v>
      </c>
      <c r="M186" s="830"/>
      <c r="N186" s="830"/>
      <c r="O186" s="830" t="s">
        <v>4794</v>
      </c>
      <c r="P186" s="830" t="s">
        <v>4794</v>
      </c>
      <c r="Q186" s="832">
        <f t="shared" si="2"/>
        <v>1</v>
      </c>
      <c r="R186" s="833" t="s">
        <v>4025</v>
      </c>
      <c r="S186" s="834"/>
      <c r="T186" s="835"/>
      <c r="U186" s="835"/>
      <c r="V186" s="835"/>
      <c r="W186" s="835"/>
      <c r="X186" s="835"/>
      <c r="Y186" s="835"/>
      <c r="Z186" s="835"/>
      <c r="AA186" s="835"/>
      <c r="AB186" s="835"/>
      <c r="AC186" s="835"/>
      <c r="AD186" s="835"/>
      <c r="AE186" s="835"/>
      <c r="AF186" s="835"/>
    </row>
    <row r="187" spans="1:32" ht="31.5">
      <c r="A187" s="827" t="s">
        <v>1589</v>
      </c>
      <c r="B187" s="828" t="s">
        <v>4022</v>
      </c>
      <c r="C187" s="828" t="s">
        <v>1590</v>
      </c>
      <c r="D187" s="829" t="s">
        <v>1591</v>
      </c>
      <c r="E187" s="830" t="s">
        <v>4794</v>
      </c>
      <c r="F187" s="830" t="s">
        <v>4794</v>
      </c>
      <c r="G187" s="830" t="s">
        <v>4794</v>
      </c>
      <c r="H187" s="830" t="s">
        <v>4794</v>
      </c>
      <c r="I187" s="831">
        <v>6</v>
      </c>
      <c r="J187" s="830" t="s">
        <v>4794</v>
      </c>
      <c r="K187" s="830" t="s">
        <v>4794</v>
      </c>
      <c r="L187" s="830" t="s">
        <v>4794</v>
      </c>
      <c r="M187" s="830" t="s">
        <v>4794</v>
      </c>
      <c r="N187" s="830" t="s">
        <v>4794</v>
      </c>
      <c r="O187" s="830" t="s">
        <v>4794</v>
      </c>
      <c r="P187" s="830" t="s">
        <v>4794</v>
      </c>
      <c r="Q187" s="832">
        <f t="shared" si="2"/>
        <v>6</v>
      </c>
      <c r="R187" s="833" t="s">
        <v>4025</v>
      </c>
      <c r="S187" s="834"/>
      <c r="T187" s="835"/>
      <c r="U187" s="835"/>
      <c r="V187" s="835"/>
      <c r="W187" s="835"/>
      <c r="X187" s="835"/>
      <c r="Y187" s="835"/>
      <c r="Z187" s="835"/>
      <c r="AA187" s="835"/>
      <c r="AB187" s="835"/>
      <c r="AC187" s="835"/>
      <c r="AD187" s="835"/>
      <c r="AE187" s="835"/>
      <c r="AF187" s="835"/>
    </row>
    <row r="188" spans="1:32" ht="31.5">
      <c r="A188" s="827" t="s">
        <v>1592</v>
      </c>
      <c r="B188" s="828" t="s">
        <v>4022</v>
      </c>
      <c r="C188" s="828" t="s">
        <v>1593</v>
      </c>
      <c r="D188" s="829" t="s">
        <v>1594</v>
      </c>
      <c r="E188" s="830" t="s">
        <v>4794</v>
      </c>
      <c r="F188" s="830" t="s">
        <v>4794</v>
      </c>
      <c r="G188" s="830" t="s">
        <v>4794</v>
      </c>
      <c r="H188" s="830"/>
      <c r="I188" s="831">
        <v>3</v>
      </c>
      <c r="J188" s="830" t="s">
        <v>4794</v>
      </c>
      <c r="K188" s="830" t="s">
        <v>4794</v>
      </c>
      <c r="L188" s="831">
        <v>2</v>
      </c>
      <c r="M188" s="830" t="s">
        <v>4794</v>
      </c>
      <c r="N188" s="830" t="s">
        <v>4794</v>
      </c>
      <c r="O188" s="830" t="s">
        <v>4794</v>
      </c>
      <c r="P188" s="830" t="s">
        <v>4794</v>
      </c>
      <c r="Q188" s="832">
        <f t="shared" si="2"/>
        <v>5</v>
      </c>
      <c r="R188" s="833" t="s">
        <v>4025</v>
      </c>
      <c r="S188" s="834"/>
      <c r="T188" s="835"/>
      <c r="U188" s="835"/>
      <c r="V188" s="835"/>
      <c r="W188" s="835"/>
      <c r="X188" s="835"/>
      <c r="Y188" s="835"/>
      <c r="Z188" s="835"/>
      <c r="AA188" s="835"/>
      <c r="AB188" s="835"/>
      <c r="AC188" s="835"/>
      <c r="AD188" s="835"/>
      <c r="AE188" s="835"/>
      <c r="AF188" s="835"/>
    </row>
    <row r="189" spans="1:32" ht="31.5">
      <c r="A189" s="827" t="s">
        <v>1595</v>
      </c>
      <c r="B189" s="828" t="s">
        <v>4022</v>
      </c>
      <c r="C189" s="828" t="s">
        <v>1596</v>
      </c>
      <c r="D189" s="829" t="s">
        <v>1006</v>
      </c>
      <c r="E189" s="830" t="s">
        <v>4794</v>
      </c>
      <c r="F189" s="830" t="s">
        <v>4794</v>
      </c>
      <c r="G189" s="830" t="s">
        <v>4794</v>
      </c>
      <c r="H189" s="830" t="s">
        <v>4794</v>
      </c>
      <c r="I189" s="830" t="s">
        <v>4794</v>
      </c>
      <c r="J189" s="831">
        <v>3</v>
      </c>
      <c r="K189" s="830" t="s">
        <v>4794</v>
      </c>
      <c r="L189" s="831">
        <v>2</v>
      </c>
      <c r="M189" s="830" t="s">
        <v>4794</v>
      </c>
      <c r="N189" s="830" t="s">
        <v>4794</v>
      </c>
      <c r="O189" s="830" t="s">
        <v>4794</v>
      </c>
      <c r="P189" s="830" t="s">
        <v>4794</v>
      </c>
      <c r="Q189" s="832">
        <f t="shared" si="2"/>
        <v>5</v>
      </c>
      <c r="R189" s="833" t="s">
        <v>4025</v>
      </c>
      <c r="S189" s="834"/>
      <c r="T189" s="835"/>
      <c r="U189" s="835"/>
      <c r="V189" s="835"/>
      <c r="W189" s="835"/>
      <c r="X189" s="835"/>
      <c r="Y189" s="835"/>
      <c r="Z189" s="835"/>
      <c r="AA189" s="835"/>
      <c r="AB189" s="835"/>
      <c r="AC189" s="835"/>
      <c r="AD189" s="835"/>
      <c r="AE189" s="835"/>
      <c r="AF189" s="835"/>
    </row>
    <row r="190" spans="1:32" ht="31.5">
      <c r="A190" s="827" t="s">
        <v>1007</v>
      </c>
      <c r="B190" s="828" t="s">
        <v>4022</v>
      </c>
      <c r="C190" s="828" t="s">
        <v>1008</v>
      </c>
      <c r="D190" s="829" t="s">
        <v>1009</v>
      </c>
      <c r="E190" s="830" t="s">
        <v>4794</v>
      </c>
      <c r="F190" s="830" t="s">
        <v>4794</v>
      </c>
      <c r="G190" s="830" t="s">
        <v>4794</v>
      </c>
      <c r="H190" s="830"/>
      <c r="I190" s="830" t="s">
        <v>4794</v>
      </c>
      <c r="J190" s="831">
        <v>3</v>
      </c>
      <c r="K190" s="830" t="s">
        <v>4794</v>
      </c>
      <c r="L190" s="831">
        <v>2</v>
      </c>
      <c r="M190" s="830" t="s">
        <v>4794</v>
      </c>
      <c r="N190" s="830" t="s">
        <v>4794</v>
      </c>
      <c r="O190" s="830" t="s">
        <v>4794</v>
      </c>
      <c r="P190" s="830" t="s">
        <v>4794</v>
      </c>
      <c r="Q190" s="832">
        <f t="shared" si="2"/>
        <v>5</v>
      </c>
      <c r="R190" s="833" t="s">
        <v>4025</v>
      </c>
      <c r="S190" s="834"/>
      <c r="T190" s="835"/>
      <c r="U190" s="835"/>
      <c r="V190" s="835"/>
      <c r="W190" s="835"/>
      <c r="X190" s="835"/>
      <c r="Y190" s="835"/>
      <c r="Z190" s="835"/>
      <c r="AA190" s="835"/>
      <c r="AB190" s="835"/>
      <c r="AC190" s="835"/>
      <c r="AD190" s="835"/>
      <c r="AE190" s="835"/>
      <c r="AF190" s="835"/>
    </row>
    <row r="191" spans="1:32" ht="52.5">
      <c r="A191" s="827" t="s">
        <v>1010</v>
      </c>
      <c r="B191" s="828" t="s">
        <v>4022</v>
      </c>
      <c r="C191" s="828" t="s">
        <v>1011</v>
      </c>
      <c r="D191" s="829" t="s">
        <v>1012</v>
      </c>
      <c r="E191" s="830" t="s">
        <v>4794</v>
      </c>
      <c r="F191" s="830" t="s">
        <v>4794</v>
      </c>
      <c r="G191" s="830"/>
      <c r="H191" s="831">
        <v>2</v>
      </c>
      <c r="I191" s="830" t="s">
        <v>4794</v>
      </c>
      <c r="J191" s="830" t="s">
        <v>4794</v>
      </c>
      <c r="K191" s="831">
        <v>2</v>
      </c>
      <c r="L191" s="830" t="s">
        <v>4794</v>
      </c>
      <c r="M191" s="830" t="s">
        <v>4794</v>
      </c>
      <c r="N191" s="830" t="s">
        <v>4794</v>
      </c>
      <c r="O191" s="830" t="s">
        <v>4794</v>
      </c>
      <c r="P191" s="830" t="s">
        <v>4794</v>
      </c>
      <c r="Q191" s="832">
        <f t="shared" si="2"/>
        <v>4</v>
      </c>
      <c r="R191" s="833" t="s">
        <v>4025</v>
      </c>
      <c r="S191" s="834"/>
      <c r="T191" s="835"/>
      <c r="U191" s="835"/>
      <c r="V191" s="835"/>
      <c r="W191" s="835"/>
      <c r="X191" s="835"/>
      <c r="Y191" s="835"/>
      <c r="Z191" s="835"/>
      <c r="AA191" s="835"/>
      <c r="AB191" s="835"/>
      <c r="AC191" s="835"/>
      <c r="AD191" s="835"/>
      <c r="AE191" s="835"/>
      <c r="AF191" s="835"/>
    </row>
    <row r="192" spans="1:32" ht="52.5">
      <c r="A192" s="827" t="s">
        <v>1013</v>
      </c>
      <c r="B192" s="828" t="s">
        <v>4022</v>
      </c>
      <c r="C192" s="828" t="s">
        <v>1014</v>
      </c>
      <c r="D192" s="829" t="s">
        <v>1015</v>
      </c>
      <c r="E192" s="830" t="s">
        <v>4794</v>
      </c>
      <c r="F192" s="830" t="s">
        <v>4794</v>
      </c>
      <c r="G192" s="830"/>
      <c r="H192" s="831">
        <v>2</v>
      </c>
      <c r="I192" s="830" t="s">
        <v>4794</v>
      </c>
      <c r="J192" s="830" t="s">
        <v>4794</v>
      </c>
      <c r="K192" s="831">
        <v>2</v>
      </c>
      <c r="L192" s="830" t="s">
        <v>4794</v>
      </c>
      <c r="M192" s="830" t="s">
        <v>4794</v>
      </c>
      <c r="N192" s="830" t="s">
        <v>4794</v>
      </c>
      <c r="O192" s="830" t="s">
        <v>4794</v>
      </c>
      <c r="P192" s="830" t="s">
        <v>4794</v>
      </c>
      <c r="Q192" s="832">
        <f t="shared" si="2"/>
        <v>4</v>
      </c>
      <c r="R192" s="833" t="s">
        <v>4025</v>
      </c>
      <c r="S192" s="834"/>
      <c r="T192" s="835"/>
      <c r="U192" s="835"/>
      <c r="V192" s="835"/>
      <c r="W192" s="835"/>
      <c r="X192" s="835"/>
      <c r="Y192" s="835"/>
      <c r="Z192" s="835"/>
      <c r="AA192" s="835"/>
      <c r="AB192" s="835"/>
      <c r="AC192" s="835"/>
      <c r="AD192" s="835"/>
      <c r="AE192" s="835"/>
      <c r="AF192" s="835"/>
    </row>
    <row r="193" spans="1:32" ht="31.5">
      <c r="A193" s="827" t="s">
        <v>1016</v>
      </c>
      <c r="B193" s="828" t="s">
        <v>4022</v>
      </c>
      <c r="C193" s="828" t="s">
        <v>1017</v>
      </c>
      <c r="D193" s="829" t="s">
        <v>1018</v>
      </c>
      <c r="E193" s="830" t="s">
        <v>4794</v>
      </c>
      <c r="F193" s="830" t="s">
        <v>4794</v>
      </c>
      <c r="G193" s="830"/>
      <c r="H193" s="831">
        <v>2</v>
      </c>
      <c r="I193" s="830" t="s">
        <v>4794</v>
      </c>
      <c r="J193" s="830" t="s">
        <v>4794</v>
      </c>
      <c r="K193" s="831">
        <v>2</v>
      </c>
      <c r="L193" s="830" t="s">
        <v>4794</v>
      </c>
      <c r="M193" s="830" t="s">
        <v>4794</v>
      </c>
      <c r="N193" s="830" t="s">
        <v>4794</v>
      </c>
      <c r="O193" s="830" t="s">
        <v>4794</v>
      </c>
      <c r="P193" s="830" t="s">
        <v>4794</v>
      </c>
      <c r="Q193" s="832">
        <f t="shared" si="2"/>
        <v>4</v>
      </c>
      <c r="R193" s="833" t="s">
        <v>3367</v>
      </c>
      <c r="S193" s="834"/>
      <c r="T193" s="835"/>
      <c r="U193" s="835"/>
      <c r="V193" s="835"/>
      <c r="W193" s="835"/>
      <c r="X193" s="835"/>
      <c r="Y193" s="835"/>
      <c r="Z193" s="835"/>
      <c r="AA193" s="835"/>
      <c r="AB193" s="835"/>
      <c r="AC193" s="835"/>
      <c r="AD193" s="835"/>
      <c r="AE193" s="835"/>
      <c r="AF193" s="835"/>
    </row>
    <row r="194" spans="1:32" ht="52.5">
      <c r="A194" s="827" t="s">
        <v>1019</v>
      </c>
      <c r="B194" s="828" t="s">
        <v>4022</v>
      </c>
      <c r="C194" s="828" t="s">
        <v>1020</v>
      </c>
      <c r="D194" s="829" t="s">
        <v>1021</v>
      </c>
      <c r="E194" s="830" t="s">
        <v>4794</v>
      </c>
      <c r="F194" s="830" t="s">
        <v>4794</v>
      </c>
      <c r="G194" s="830"/>
      <c r="H194" s="831">
        <v>2</v>
      </c>
      <c r="I194" s="830" t="s">
        <v>4794</v>
      </c>
      <c r="J194" s="830" t="s">
        <v>4794</v>
      </c>
      <c r="K194" s="831">
        <v>2</v>
      </c>
      <c r="L194" s="830" t="s">
        <v>4794</v>
      </c>
      <c r="M194" s="830" t="s">
        <v>4794</v>
      </c>
      <c r="N194" s="830" t="s">
        <v>4794</v>
      </c>
      <c r="O194" s="830" t="s">
        <v>4794</v>
      </c>
      <c r="P194" s="830" t="s">
        <v>4794</v>
      </c>
      <c r="Q194" s="832">
        <f t="shared" si="2"/>
        <v>4</v>
      </c>
      <c r="R194" s="833" t="s">
        <v>4025</v>
      </c>
      <c r="S194" s="834"/>
      <c r="T194" s="835"/>
      <c r="U194" s="835"/>
      <c r="V194" s="835"/>
      <c r="W194" s="835"/>
      <c r="X194" s="835"/>
      <c r="Y194" s="835"/>
      <c r="Z194" s="835"/>
      <c r="AA194" s="835"/>
      <c r="AB194" s="835"/>
      <c r="AC194" s="835"/>
      <c r="AD194" s="835"/>
      <c r="AE194" s="835"/>
      <c r="AF194" s="835"/>
    </row>
    <row r="195" spans="1:32" ht="31.5">
      <c r="A195" s="827" t="s">
        <v>1022</v>
      </c>
      <c r="B195" s="828" t="s">
        <v>4022</v>
      </c>
      <c r="C195" s="828" t="s">
        <v>1023</v>
      </c>
      <c r="D195" s="829" t="s">
        <v>1024</v>
      </c>
      <c r="E195" s="830" t="s">
        <v>4794</v>
      </c>
      <c r="F195" s="830" t="s">
        <v>4794</v>
      </c>
      <c r="G195" s="830" t="s">
        <v>4794</v>
      </c>
      <c r="H195" s="831">
        <v>5</v>
      </c>
      <c r="I195" s="830" t="s">
        <v>4794</v>
      </c>
      <c r="J195" s="831">
        <v>5</v>
      </c>
      <c r="K195" s="830" t="s">
        <v>4794</v>
      </c>
      <c r="L195" s="831">
        <v>5</v>
      </c>
      <c r="M195" s="830" t="s">
        <v>4794</v>
      </c>
      <c r="N195" s="831">
        <v>5</v>
      </c>
      <c r="O195" s="830" t="s">
        <v>4794</v>
      </c>
      <c r="P195" s="830" t="s">
        <v>4794</v>
      </c>
      <c r="Q195" s="832">
        <f t="shared" si="2"/>
        <v>20</v>
      </c>
      <c r="R195" s="833" t="s">
        <v>4025</v>
      </c>
      <c r="S195" s="834"/>
      <c r="T195" s="835"/>
      <c r="U195" s="835"/>
      <c r="V195" s="835"/>
      <c r="W195" s="835"/>
      <c r="X195" s="835"/>
      <c r="Y195" s="835"/>
      <c r="Z195" s="835"/>
      <c r="AA195" s="835"/>
      <c r="AB195" s="835"/>
      <c r="AC195" s="835"/>
      <c r="AD195" s="835"/>
      <c r="AE195" s="835"/>
      <c r="AF195" s="835"/>
    </row>
    <row r="196" spans="1:32" ht="31.5">
      <c r="A196" s="827" t="s">
        <v>1025</v>
      </c>
      <c r="B196" s="828" t="s">
        <v>4022</v>
      </c>
      <c r="C196" s="828" t="s">
        <v>1026</v>
      </c>
      <c r="D196" s="829" t="s">
        <v>1027</v>
      </c>
      <c r="E196" s="830" t="s">
        <v>4794</v>
      </c>
      <c r="F196" s="830" t="s">
        <v>4794</v>
      </c>
      <c r="G196" s="831">
        <v>5</v>
      </c>
      <c r="H196" s="830" t="s">
        <v>4794</v>
      </c>
      <c r="I196" s="831">
        <v>5</v>
      </c>
      <c r="J196" s="830" t="s">
        <v>4794</v>
      </c>
      <c r="K196" s="831">
        <v>5</v>
      </c>
      <c r="L196" s="830" t="s">
        <v>4794</v>
      </c>
      <c r="M196" s="831">
        <v>5</v>
      </c>
      <c r="N196" s="830" t="s">
        <v>4794</v>
      </c>
      <c r="O196" s="830" t="s">
        <v>4794</v>
      </c>
      <c r="P196" s="830" t="s">
        <v>4794</v>
      </c>
      <c r="Q196" s="832">
        <f t="shared" si="2"/>
        <v>20</v>
      </c>
      <c r="R196" s="833" t="s">
        <v>4025</v>
      </c>
      <c r="S196" s="834"/>
      <c r="T196" s="835"/>
      <c r="U196" s="835"/>
      <c r="V196" s="835"/>
      <c r="W196" s="835"/>
      <c r="X196" s="835"/>
      <c r="Y196" s="835"/>
      <c r="Z196" s="835"/>
      <c r="AA196" s="835"/>
      <c r="AB196" s="835"/>
      <c r="AC196" s="835"/>
      <c r="AD196" s="835"/>
      <c r="AE196" s="835"/>
      <c r="AF196" s="835"/>
    </row>
    <row r="197" spans="1:32" ht="31.5">
      <c r="A197" s="827" t="s">
        <v>1028</v>
      </c>
      <c r="B197" s="828" t="s">
        <v>4022</v>
      </c>
      <c r="C197" s="828" t="s">
        <v>1029</v>
      </c>
      <c r="D197" s="829" t="s">
        <v>1030</v>
      </c>
      <c r="E197" s="830" t="s">
        <v>4794</v>
      </c>
      <c r="F197" s="830" t="s">
        <v>4794</v>
      </c>
      <c r="G197" s="830" t="s">
        <v>4794</v>
      </c>
      <c r="H197" s="831">
        <v>5</v>
      </c>
      <c r="I197" s="830" t="s">
        <v>4794</v>
      </c>
      <c r="J197" s="831">
        <v>5</v>
      </c>
      <c r="K197" s="830" t="s">
        <v>4794</v>
      </c>
      <c r="L197" s="831">
        <v>5</v>
      </c>
      <c r="M197" s="830" t="s">
        <v>4794</v>
      </c>
      <c r="N197" s="831">
        <v>5</v>
      </c>
      <c r="O197" s="830" t="s">
        <v>4794</v>
      </c>
      <c r="P197" s="830" t="s">
        <v>4794</v>
      </c>
      <c r="Q197" s="832">
        <f t="shared" si="2"/>
        <v>20</v>
      </c>
      <c r="R197" s="833" t="s">
        <v>4025</v>
      </c>
      <c r="S197" s="834"/>
      <c r="T197" s="835"/>
      <c r="U197" s="835"/>
      <c r="V197" s="835"/>
      <c r="W197" s="835"/>
      <c r="X197" s="835"/>
      <c r="Y197" s="835"/>
      <c r="Z197" s="835"/>
      <c r="AA197" s="835"/>
      <c r="AB197" s="835"/>
      <c r="AC197" s="835"/>
      <c r="AD197" s="835"/>
      <c r="AE197" s="835"/>
      <c r="AF197" s="835"/>
    </row>
    <row r="198" spans="1:32" ht="31.5">
      <c r="A198" s="827" t="s">
        <v>1031</v>
      </c>
      <c r="B198" s="828" t="s">
        <v>4022</v>
      </c>
      <c r="C198" s="828" t="s">
        <v>1032</v>
      </c>
      <c r="D198" s="829" t="s">
        <v>1033</v>
      </c>
      <c r="E198" s="830" t="s">
        <v>4794</v>
      </c>
      <c r="F198" s="830" t="s">
        <v>4794</v>
      </c>
      <c r="G198" s="831">
        <v>5</v>
      </c>
      <c r="H198" s="830" t="s">
        <v>4794</v>
      </c>
      <c r="I198" s="831">
        <v>5</v>
      </c>
      <c r="J198" s="830" t="s">
        <v>4794</v>
      </c>
      <c r="K198" s="831">
        <v>5</v>
      </c>
      <c r="L198" s="830" t="s">
        <v>4794</v>
      </c>
      <c r="M198" s="831">
        <v>5</v>
      </c>
      <c r="N198" s="830" t="s">
        <v>4794</v>
      </c>
      <c r="O198" s="830" t="s">
        <v>4794</v>
      </c>
      <c r="P198" s="830" t="s">
        <v>4794</v>
      </c>
      <c r="Q198" s="832">
        <f t="shared" si="2"/>
        <v>20</v>
      </c>
      <c r="R198" s="833" t="s">
        <v>4025</v>
      </c>
      <c r="S198" s="834"/>
      <c r="T198" s="835"/>
      <c r="U198" s="835"/>
      <c r="V198" s="835"/>
      <c r="W198" s="835"/>
      <c r="X198" s="835"/>
      <c r="Y198" s="835"/>
      <c r="Z198" s="835"/>
      <c r="AA198" s="835"/>
      <c r="AB198" s="835"/>
      <c r="AC198" s="835"/>
      <c r="AD198" s="835"/>
      <c r="AE198" s="835"/>
      <c r="AF198" s="835"/>
    </row>
    <row r="199" spans="1:32" ht="42">
      <c r="A199" s="827" t="s">
        <v>1034</v>
      </c>
      <c r="B199" s="828" t="s">
        <v>4022</v>
      </c>
      <c r="C199" s="828" t="s">
        <v>1035</v>
      </c>
      <c r="D199" s="829" t="s">
        <v>1036</v>
      </c>
      <c r="E199" s="830" t="s">
        <v>4794</v>
      </c>
      <c r="F199" s="830" t="s">
        <v>4794</v>
      </c>
      <c r="G199" s="830" t="s">
        <v>4794</v>
      </c>
      <c r="H199" s="831">
        <v>5</v>
      </c>
      <c r="I199" s="830" t="s">
        <v>4794</v>
      </c>
      <c r="J199" s="830" t="s">
        <v>4794</v>
      </c>
      <c r="K199" s="831">
        <v>5</v>
      </c>
      <c r="L199" s="830" t="s">
        <v>4794</v>
      </c>
      <c r="M199" s="831">
        <v>5</v>
      </c>
      <c r="N199" s="830" t="s">
        <v>4794</v>
      </c>
      <c r="O199" s="830" t="s">
        <v>4794</v>
      </c>
      <c r="P199" s="830" t="s">
        <v>4794</v>
      </c>
      <c r="Q199" s="832">
        <f t="shared" si="2"/>
        <v>15</v>
      </c>
      <c r="R199" s="833" t="s">
        <v>4025</v>
      </c>
      <c r="S199" s="834"/>
      <c r="T199" s="835"/>
      <c r="U199" s="835"/>
      <c r="V199" s="835"/>
      <c r="W199" s="835"/>
      <c r="X199" s="835"/>
      <c r="Y199" s="835"/>
      <c r="Z199" s="835"/>
      <c r="AA199" s="835"/>
      <c r="AB199" s="835"/>
      <c r="AC199" s="835"/>
      <c r="AD199" s="835"/>
      <c r="AE199" s="835"/>
      <c r="AF199" s="835"/>
    </row>
    <row r="200" spans="1:32" ht="42">
      <c r="A200" s="827" t="s">
        <v>1037</v>
      </c>
      <c r="B200" s="828" t="s">
        <v>4022</v>
      </c>
      <c r="C200" s="828" t="s">
        <v>1038</v>
      </c>
      <c r="D200" s="829" t="s">
        <v>1039</v>
      </c>
      <c r="E200" s="830" t="s">
        <v>4794</v>
      </c>
      <c r="F200" s="830" t="s">
        <v>4794</v>
      </c>
      <c r="G200" s="830" t="s">
        <v>4794</v>
      </c>
      <c r="H200" s="831">
        <v>5</v>
      </c>
      <c r="I200" s="830" t="s">
        <v>4794</v>
      </c>
      <c r="J200" s="830" t="s">
        <v>4794</v>
      </c>
      <c r="K200" s="831">
        <v>5</v>
      </c>
      <c r="L200" s="830" t="s">
        <v>4794</v>
      </c>
      <c r="M200" s="831">
        <v>5</v>
      </c>
      <c r="N200" s="830" t="s">
        <v>4794</v>
      </c>
      <c r="O200" s="830" t="s">
        <v>4794</v>
      </c>
      <c r="P200" s="830" t="s">
        <v>4794</v>
      </c>
      <c r="Q200" s="832">
        <f t="shared" si="2"/>
        <v>15</v>
      </c>
      <c r="R200" s="833" t="s">
        <v>4025</v>
      </c>
      <c r="S200" s="834"/>
      <c r="T200" s="835"/>
      <c r="U200" s="835"/>
      <c r="V200" s="835"/>
      <c r="W200" s="835"/>
      <c r="X200" s="835"/>
      <c r="Y200" s="835"/>
      <c r="Z200" s="835"/>
      <c r="AA200" s="835"/>
      <c r="AB200" s="835"/>
      <c r="AC200" s="835"/>
      <c r="AD200" s="835"/>
      <c r="AE200" s="835"/>
      <c r="AF200" s="835"/>
    </row>
    <row r="201" spans="1:32" ht="31.5">
      <c r="A201" s="827" t="s">
        <v>1040</v>
      </c>
      <c r="B201" s="828" t="s">
        <v>4022</v>
      </c>
      <c r="C201" s="828" t="s">
        <v>1041</v>
      </c>
      <c r="D201" s="829" t="s">
        <v>1042</v>
      </c>
      <c r="E201" s="830" t="s">
        <v>4794</v>
      </c>
      <c r="F201" s="830" t="s">
        <v>4794</v>
      </c>
      <c r="G201" s="831">
        <v>5</v>
      </c>
      <c r="H201" s="830" t="s">
        <v>4794</v>
      </c>
      <c r="I201" s="830" t="s">
        <v>4794</v>
      </c>
      <c r="J201" s="831">
        <v>5</v>
      </c>
      <c r="K201" s="831">
        <v>5</v>
      </c>
      <c r="L201" s="830" t="s">
        <v>4794</v>
      </c>
      <c r="M201" s="830" t="s">
        <v>4794</v>
      </c>
      <c r="N201" s="830" t="s">
        <v>4794</v>
      </c>
      <c r="O201" s="830" t="s">
        <v>4794</v>
      </c>
      <c r="P201" s="830" t="s">
        <v>4794</v>
      </c>
      <c r="Q201" s="832">
        <f t="shared" si="2"/>
        <v>15</v>
      </c>
      <c r="R201" s="833" t="s">
        <v>4025</v>
      </c>
      <c r="S201" s="834"/>
      <c r="T201" s="835"/>
      <c r="U201" s="835"/>
      <c r="V201" s="835"/>
      <c r="W201" s="835"/>
      <c r="X201" s="835"/>
      <c r="Y201" s="835"/>
      <c r="Z201" s="835"/>
      <c r="AA201" s="835"/>
      <c r="AB201" s="835"/>
      <c r="AC201" s="835"/>
      <c r="AD201" s="835"/>
      <c r="AE201" s="835"/>
      <c r="AF201" s="835"/>
    </row>
    <row r="202" spans="1:32" ht="31.5">
      <c r="A202" s="827" t="s">
        <v>1043</v>
      </c>
      <c r="B202" s="828" t="s">
        <v>4022</v>
      </c>
      <c r="C202" s="828" t="s">
        <v>1044</v>
      </c>
      <c r="D202" s="829" t="s">
        <v>1045</v>
      </c>
      <c r="E202" s="830" t="s">
        <v>4794</v>
      </c>
      <c r="F202" s="830" t="s">
        <v>4794</v>
      </c>
      <c r="G202" s="831">
        <v>5</v>
      </c>
      <c r="H202" s="830" t="s">
        <v>4794</v>
      </c>
      <c r="I202" s="830" t="s">
        <v>4794</v>
      </c>
      <c r="J202" s="831">
        <v>5</v>
      </c>
      <c r="K202" s="831">
        <v>5</v>
      </c>
      <c r="L202" s="830" t="s">
        <v>4794</v>
      </c>
      <c r="M202" s="830" t="s">
        <v>4794</v>
      </c>
      <c r="N202" s="830" t="s">
        <v>4794</v>
      </c>
      <c r="O202" s="830" t="s">
        <v>4794</v>
      </c>
      <c r="P202" s="830" t="s">
        <v>4794</v>
      </c>
      <c r="Q202" s="832">
        <f t="shared" si="2"/>
        <v>15</v>
      </c>
      <c r="R202" s="833" t="s">
        <v>4025</v>
      </c>
      <c r="S202" s="834"/>
      <c r="T202" s="835"/>
      <c r="U202" s="835"/>
      <c r="V202" s="835"/>
      <c r="W202" s="835"/>
      <c r="X202" s="835"/>
      <c r="Y202" s="835"/>
      <c r="Z202" s="835"/>
      <c r="AA202" s="835"/>
      <c r="AB202" s="835"/>
      <c r="AC202" s="835"/>
      <c r="AD202" s="835"/>
      <c r="AE202" s="835"/>
      <c r="AF202" s="835"/>
    </row>
    <row r="203" spans="1:32" ht="63">
      <c r="A203" s="827" t="s">
        <v>1046</v>
      </c>
      <c r="B203" s="828" t="s">
        <v>4022</v>
      </c>
      <c r="C203" s="828" t="s">
        <v>1047</v>
      </c>
      <c r="D203" s="829" t="s">
        <v>1048</v>
      </c>
      <c r="E203" s="830" t="s">
        <v>4794</v>
      </c>
      <c r="F203" s="830" t="s">
        <v>4794</v>
      </c>
      <c r="G203" s="831">
        <v>2</v>
      </c>
      <c r="H203" s="830"/>
      <c r="I203" s="831">
        <v>2</v>
      </c>
      <c r="J203" s="830" t="s">
        <v>4794</v>
      </c>
      <c r="K203" s="831">
        <v>2</v>
      </c>
      <c r="L203" s="830" t="s">
        <v>4794</v>
      </c>
      <c r="M203" s="830" t="s">
        <v>4794</v>
      </c>
      <c r="N203" s="830" t="s">
        <v>4794</v>
      </c>
      <c r="O203" s="831">
        <v>2</v>
      </c>
      <c r="P203" s="830" t="s">
        <v>4794</v>
      </c>
      <c r="Q203" s="832">
        <f t="shared" si="2"/>
        <v>8</v>
      </c>
      <c r="R203" s="833" t="s">
        <v>4025</v>
      </c>
      <c r="S203" s="834"/>
      <c r="T203" s="835"/>
      <c r="U203" s="835"/>
      <c r="V203" s="835"/>
      <c r="W203" s="835"/>
      <c r="X203" s="835"/>
      <c r="Y203" s="835"/>
      <c r="Z203" s="835"/>
      <c r="AA203" s="835"/>
      <c r="AB203" s="835"/>
      <c r="AC203" s="835"/>
      <c r="AD203" s="835"/>
      <c r="AE203" s="835"/>
      <c r="AF203" s="835"/>
    </row>
    <row r="204" spans="1:32" ht="63">
      <c r="A204" s="827" t="s">
        <v>1049</v>
      </c>
      <c r="B204" s="828" t="s">
        <v>4022</v>
      </c>
      <c r="C204" s="828" t="s">
        <v>1050</v>
      </c>
      <c r="D204" s="829" t="s">
        <v>1051</v>
      </c>
      <c r="E204" s="830" t="s">
        <v>4794</v>
      </c>
      <c r="F204" s="830" t="s">
        <v>4794</v>
      </c>
      <c r="G204" s="830" t="s">
        <v>4794</v>
      </c>
      <c r="H204" s="831">
        <v>2</v>
      </c>
      <c r="I204" s="831">
        <v>2</v>
      </c>
      <c r="J204" s="831">
        <v>2</v>
      </c>
      <c r="K204" s="830" t="s">
        <v>4794</v>
      </c>
      <c r="L204" s="830" t="s">
        <v>4794</v>
      </c>
      <c r="M204" s="831">
        <v>2</v>
      </c>
      <c r="N204" s="830" t="s">
        <v>4794</v>
      </c>
      <c r="O204" s="830" t="s">
        <v>4794</v>
      </c>
      <c r="P204" s="830" t="s">
        <v>4794</v>
      </c>
      <c r="Q204" s="832">
        <f t="shared" si="2"/>
        <v>8</v>
      </c>
      <c r="R204" s="833" t="s">
        <v>4025</v>
      </c>
      <c r="S204" s="834"/>
      <c r="T204" s="835"/>
      <c r="U204" s="835"/>
      <c r="V204" s="835"/>
      <c r="W204" s="835"/>
      <c r="X204" s="835"/>
      <c r="Y204" s="835"/>
      <c r="Z204" s="835"/>
      <c r="AA204" s="835"/>
      <c r="AB204" s="835"/>
      <c r="AC204" s="835"/>
      <c r="AD204" s="835"/>
      <c r="AE204" s="835"/>
      <c r="AF204" s="835"/>
    </row>
    <row r="205" spans="1:32" ht="63">
      <c r="A205" s="827" t="s">
        <v>1052</v>
      </c>
      <c r="B205" s="828" t="s">
        <v>4022</v>
      </c>
      <c r="C205" s="828" t="s">
        <v>1053</v>
      </c>
      <c r="D205" s="829" t="s">
        <v>1054</v>
      </c>
      <c r="E205" s="830" t="s">
        <v>4794</v>
      </c>
      <c r="F205" s="830" t="s">
        <v>4794</v>
      </c>
      <c r="G205" s="830" t="s">
        <v>4794</v>
      </c>
      <c r="H205" s="830"/>
      <c r="I205" s="831">
        <v>2</v>
      </c>
      <c r="J205" s="830" t="s">
        <v>4794</v>
      </c>
      <c r="K205" s="830"/>
      <c r="L205" s="830" t="s">
        <v>4794</v>
      </c>
      <c r="M205" s="830" t="s">
        <v>4794</v>
      </c>
      <c r="N205" s="831">
        <v>2</v>
      </c>
      <c r="O205" s="830" t="s">
        <v>4794</v>
      </c>
      <c r="P205" s="830" t="s">
        <v>4794</v>
      </c>
      <c r="Q205" s="832">
        <f t="shared" si="2"/>
        <v>4</v>
      </c>
      <c r="R205" s="833" t="s">
        <v>4025</v>
      </c>
      <c r="S205" s="834"/>
      <c r="T205" s="835"/>
      <c r="U205" s="835"/>
      <c r="V205" s="835"/>
      <c r="W205" s="835"/>
      <c r="X205" s="835"/>
      <c r="Y205" s="835"/>
      <c r="Z205" s="835"/>
      <c r="AA205" s="835"/>
      <c r="AB205" s="835"/>
      <c r="AC205" s="835"/>
      <c r="AD205" s="835"/>
      <c r="AE205" s="835"/>
      <c r="AF205" s="835"/>
    </row>
    <row r="206" spans="1:32" ht="63">
      <c r="A206" s="827" t="s">
        <v>1055</v>
      </c>
      <c r="B206" s="828" t="s">
        <v>4022</v>
      </c>
      <c r="C206" s="828" t="s">
        <v>1056</v>
      </c>
      <c r="D206" s="829" t="s">
        <v>1057</v>
      </c>
      <c r="E206" s="830" t="s">
        <v>4794</v>
      </c>
      <c r="F206" s="830" t="s">
        <v>4794</v>
      </c>
      <c r="G206" s="830" t="s">
        <v>4794</v>
      </c>
      <c r="H206" s="830"/>
      <c r="I206" s="831">
        <v>2</v>
      </c>
      <c r="J206" s="830" t="s">
        <v>4794</v>
      </c>
      <c r="K206" s="830" t="s">
        <v>4794</v>
      </c>
      <c r="L206" s="831">
        <v>2</v>
      </c>
      <c r="M206" s="831">
        <v>2</v>
      </c>
      <c r="N206" s="831">
        <v>2</v>
      </c>
      <c r="O206" s="830" t="s">
        <v>4794</v>
      </c>
      <c r="P206" s="830" t="s">
        <v>4794</v>
      </c>
      <c r="Q206" s="832">
        <f t="shared" si="2"/>
        <v>8</v>
      </c>
      <c r="R206" s="833" t="s">
        <v>4025</v>
      </c>
      <c r="S206" s="834"/>
      <c r="T206" s="835"/>
      <c r="U206" s="835"/>
      <c r="V206" s="835"/>
      <c r="W206" s="835"/>
      <c r="X206" s="835"/>
      <c r="Y206" s="835"/>
      <c r="Z206" s="835"/>
      <c r="AA206" s="835"/>
      <c r="AB206" s="835"/>
      <c r="AC206" s="835"/>
      <c r="AD206" s="835"/>
      <c r="AE206" s="835"/>
      <c r="AF206" s="835"/>
    </row>
    <row r="207" spans="1:32" ht="63">
      <c r="A207" s="827" t="s">
        <v>1058</v>
      </c>
      <c r="B207" s="828" t="s">
        <v>4022</v>
      </c>
      <c r="C207" s="828" t="s">
        <v>1059</v>
      </c>
      <c r="D207" s="829" t="s">
        <v>1060</v>
      </c>
      <c r="E207" s="830" t="s">
        <v>4794</v>
      </c>
      <c r="F207" s="830" t="s">
        <v>4794</v>
      </c>
      <c r="G207" s="830" t="s">
        <v>4794</v>
      </c>
      <c r="H207" s="830"/>
      <c r="I207" s="831">
        <v>2</v>
      </c>
      <c r="J207" s="831">
        <v>2</v>
      </c>
      <c r="K207" s="831">
        <v>2</v>
      </c>
      <c r="L207" s="830" t="s">
        <v>4794</v>
      </c>
      <c r="M207" s="831">
        <v>2</v>
      </c>
      <c r="N207" s="830" t="s">
        <v>4794</v>
      </c>
      <c r="O207" s="830" t="s">
        <v>4794</v>
      </c>
      <c r="P207" s="830" t="s">
        <v>4794</v>
      </c>
      <c r="Q207" s="832">
        <f t="shared" si="2"/>
        <v>8</v>
      </c>
      <c r="R207" s="833" t="s">
        <v>4025</v>
      </c>
      <c r="S207" s="834"/>
      <c r="T207" s="835"/>
      <c r="U207" s="835"/>
      <c r="V207" s="835"/>
      <c r="W207" s="835"/>
      <c r="X207" s="835"/>
      <c r="Y207" s="835"/>
      <c r="Z207" s="835"/>
      <c r="AA207" s="835"/>
      <c r="AB207" s="835"/>
      <c r="AC207" s="835"/>
      <c r="AD207" s="835"/>
      <c r="AE207" s="835"/>
      <c r="AF207" s="835"/>
    </row>
    <row r="208" spans="1:32" ht="63">
      <c r="A208" s="827" t="s">
        <v>1061</v>
      </c>
      <c r="B208" s="828" t="s">
        <v>4022</v>
      </c>
      <c r="C208" s="828" t="s">
        <v>1062</v>
      </c>
      <c r="D208" s="829" t="s">
        <v>1063</v>
      </c>
      <c r="E208" s="830" t="s">
        <v>4794</v>
      </c>
      <c r="F208" s="830" t="s">
        <v>4794</v>
      </c>
      <c r="G208" s="830" t="s">
        <v>4794</v>
      </c>
      <c r="H208" s="830"/>
      <c r="I208" s="831">
        <v>2</v>
      </c>
      <c r="J208" s="830" t="s">
        <v>4794</v>
      </c>
      <c r="K208" s="831">
        <v>2</v>
      </c>
      <c r="L208" s="831">
        <v>2</v>
      </c>
      <c r="M208" s="831">
        <v>2</v>
      </c>
      <c r="N208" s="830" t="s">
        <v>4794</v>
      </c>
      <c r="O208" s="830" t="s">
        <v>4794</v>
      </c>
      <c r="P208" s="830" t="s">
        <v>4794</v>
      </c>
      <c r="Q208" s="832">
        <f t="shared" si="2"/>
        <v>8</v>
      </c>
      <c r="R208" s="833" t="s">
        <v>4025</v>
      </c>
      <c r="S208" s="834"/>
      <c r="T208" s="835"/>
      <c r="U208" s="835"/>
      <c r="V208" s="835"/>
      <c r="W208" s="835"/>
      <c r="X208" s="835"/>
      <c r="Y208" s="835"/>
      <c r="Z208" s="835"/>
      <c r="AA208" s="835"/>
      <c r="AB208" s="835"/>
      <c r="AC208" s="835"/>
      <c r="AD208" s="835"/>
      <c r="AE208" s="835"/>
      <c r="AF208" s="835"/>
    </row>
    <row r="209" spans="1:32" ht="63">
      <c r="A209" s="827" t="s">
        <v>1064</v>
      </c>
      <c r="B209" s="828" t="s">
        <v>4022</v>
      </c>
      <c r="C209" s="828" t="s">
        <v>1065</v>
      </c>
      <c r="D209" s="829" t="s">
        <v>1066</v>
      </c>
      <c r="E209" s="830" t="s">
        <v>4794</v>
      </c>
      <c r="F209" s="830" t="s">
        <v>4794</v>
      </c>
      <c r="G209" s="830" t="s">
        <v>4794</v>
      </c>
      <c r="H209" s="830" t="s">
        <v>4794</v>
      </c>
      <c r="I209" s="831">
        <v>2</v>
      </c>
      <c r="J209" s="830" t="s">
        <v>4794</v>
      </c>
      <c r="K209" s="831">
        <v>2</v>
      </c>
      <c r="L209" s="830"/>
      <c r="M209" s="830" t="s">
        <v>4794</v>
      </c>
      <c r="N209" s="830" t="s">
        <v>4794</v>
      </c>
      <c r="O209" s="830" t="s">
        <v>4794</v>
      </c>
      <c r="P209" s="830" t="s">
        <v>4794</v>
      </c>
      <c r="Q209" s="832">
        <f t="shared" si="2"/>
        <v>4</v>
      </c>
      <c r="R209" s="833" t="s">
        <v>4025</v>
      </c>
      <c r="S209" s="834"/>
      <c r="T209" s="835"/>
      <c r="U209" s="835"/>
      <c r="V209" s="835"/>
      <c r="W209" s="835"/>
      <c r="X209" s="835"/>
      <c r="Y209" s="835"/>
      <c r="Z209" s="835"/>
      <c r="AA209" s="835"/>
      <c r="AB209" s="835"/>
      <c r="AC209" s="835"/>
      <c r="AD209" s="835"/>
      <c r="AE209" s="835"/>
      <c r="AF209" s="835"/>
    </row>
    <row r="210" spans="1:32" ht="63">
      <c r="A210" s="827" t="s">
        <v>1067</v>
      </c>
      <c r="B210" s="828" t="s">
        <v>4022</v>
      </c>
      <c r="C210" s="828" t="s">
        <v>1068</v>
      </c>
      <c r="D210" s="829" t="s">
        <v>1069</v>
      </c>
      <c r="E210" s="830" t="s">
        <v>4794</v>
      </c>
      <c r="F210" s="830" t="s">
        <v>4794</v>
      </c>
      <c r="G210" s="830" t="s">
        <v>4794</v>
      </c>
      <c r="H210" s="830" t="s">
        <v>4794</v>
      </c>
      <c r="I210" s="830" t="s">
        <v>4794</v>
      </c>
      <c r="J210" s="830" t="s">
        <v>4794</v>
      </c>
      <c r="K210" s="831">
        <v>2</v>
      </c>
      <c r="L210" s="830"/>
      <c r="M210" s="830" t="s">
        <v>4794</v>
      </c>
      <c r="N210" s="831">
        <v>2</v>
      </c>
      <c r="O210" s="830" t="s">
        <v>4794</v>
      </c>
      <c r="P210" s="830" t="s">
        <v>4794</v>
      </c>
      <c r="Q210" s="832">
        <f t="shared" si="2"/>
        <v>4</v>
      </c>
      <c r="R210" s="833" t="s">
        <v>4025</v>
      </c>
      <c r="S210" s="834"/>
      <c r="T210" s="835"/>
      <c r="U210" s="835"/>
      <c r="V210" s="835"/>
      <c r="W210" s="835"/>
      <c r="X210" s="835"/>
      <c r="Y210" s="835"/>
      <c r="Z210" s="835"/>
      <c r="AA210" s="835"/>
      <c r="AB210" s="835"/>
      <c r="AC210" s="835"/>
      <c r="AD210" s="835"/>
      <c r="AE210" s="835"/>
      <c r="AF210" s="835"/>
    </row>
    <row r="211" spans="1:32" ht="63">
      <c r="A211" s="827" t="s">
        <v>1070</v>
      </c>
      <c r="B211" s="828" t="s">
        <v>4022</v>
      </c>
      <c r="C211" s="828" t="s">
        <v>1071</v>
      </c>
      <c r="D211" s="829" t="s">
        <v>1072</v>
      </c>
      <c r="E211" s="830" t="s">
        <v>4794</v>
      </c>
      <c r="F211" s="830" t="s">
        <v>4794</v>
      </c>
      <c r="G211" s="830" t="s">
        <v>4794</v>
      </c>
      <c r="H211" s="830" t="s">
        <v>4794</v>
      </c>
      <c r="I211" s="830" t="s">
        <v>4794</v>
      </c>
      <c r="J211" s="830" t="s">
        <v>4794</v>
      </c>
      <c r="K211" s="831">
        <v>2</v>
      </c>
      <c r="L211" s="830"/>
      <c r="M211" s="830" t="s">
        <v>4794</v>
      </c>
      <c r="N211" s="831">
        <v>2</v>
      </c>
      <c r="O211" s="830" t="s">
        <v>4794</v>
      </c>
      <c r="P211" s="830" t="s">
        <v>4794</v>
      </c>
      <c r="Q211" s="832">
        <f t="shared" si="2"/>
        <v>4</v>
      </c>
      <c r="R211" s="833" t="s">
        <v>4025</v>
      </c>
      <c r="S211" s="834"/>
      <c r="T211" s="835"/>
      <c r="U211" s="835"/>
      <c r="V211" s="835"/>
      <c r="W211" s="835"/>
      <c r="X211" s="835"/>
      <c r="Y211" s="835"/>
      <c r="Z211" s="835"/>
      <c r="AA211" s="835"/>
      <c r="AB211" s="835"/>
      <c r="AC211" s="835"/>
      <c r="AD211" s="835"/>
      <c r="AE211" s="835"/>
      <c r="AF211" s="835"/>
    </row>
    <row r="212" spans="1:32" ht="52.5">
      <c r="A212" s="827" t="s">
        <v>1073</v>
      </c>
      <c r="B212" s="828" t="s">
        <v>4022</v>
      </c>
      <c r="C212" s="828" t="s">
        <v>1074</v>
      </c>
      <c r="D212" s="829" t="s">
        <v>1075</v>
      </c>
      <c r="E212" s="830" t="s">
        <v>4794</v>
      </c>
      <c r="F212" s="830" t="s">
        <v>4794</v>
      </c>
      <c r="G212" s="830" t="s">
        <v>4794</v>
      </c>
      <c r="H212" s="830" t="s">
        <v>4794</v>
      </c>
      <c r="I212" s="830" t="s">
        <v>4794</v>
      </c>
      <c r="J212" s="831">
        <v>2</v>
      </c>
      <c r="K212" s="830" t="s">
        <v>4794</v>
      </c>
      <c r="L212" s="830"/>
      <c r="M212" s="831">
        <v>6</v>
      </c>
      <c r="N212" s="830" t="s">
        <v>4794</v>
      </c>
      <c r="O212" s="830" t="s">
        <v>4794</v>
      </c>
      <c r="P212" s="830" t="s">
        <v>4794</v>
      </c>
      <c r="Q212" s="832">
        <f t="shared" si="2"/>
        <v>8</v>
      </c>
      <c r="R212" s="833" t="s">
        <v>4025</v>
      </c>
      <c r="S212" s="834"/>
      <c r="T212" s="835"/>
      <c r="U212" s="835"/>
      <c r="V212" s="835"/>
      <c r="W212" s="835"/>
      <c r="X212" s="835"/>
      <c r="Y212" s="835"/>
      <c r="Z212" s="835"/>
      <c r="AA212" s="835"/>
      <c r="AB212" s="835"/>
      <c r="AC212" s="835"/>
      <c r="AD212" s="835"/>
      <c r="AE212" s="835"/>
      <c r="AF212" s="835"/>
    </row>
    <row r="213" spans="1:32" ht="63">
      <c r="A213" s="827" t="s">
        <v>1076</v>
      </c>
      <c r="B213" s="828" t="s">
        <v>4022</v>
      </c>
      <c r="C213" s="828" t="s">
        <v>1077</v>
      </c>
      <c r="D213" s="829" t="s">
        <v>1078</v>
      </c>
      <c r="E213" s="830" t="s">
        <v>4794</v>
      </c>
      <c r="F213" s="830" t="s">
        <v>4794</v>
      </c>
      <c r="G213" s="830" t="s">
        <v>4794</v>
      </c>
      <c r="H213" s="830" t="s">
        <v>4794</v>
      </c>
      <c r="I213" s="830" t="s">
        <v>4794</v>
      </c>
      <c r="J213" s="831">
        <v>2</v>
      </c>
      <c r="K213" s="830" t="s">
        <v>4794</v>
      </c>
      <c r="L213" s="830"/>
      <c r="M213" s="831">
        <v>6</v>
      </c>
      <c r="N213" s="830" t="s">
        <v>4794</v>
      </c>
      <c r="O213" s="830" t="s">
        <v>4794</v>
      </c>
      <c r="P213" s="830" t="s">
        <v>4794</v>
      </c>
      <c r="Q213" s="832">
        <f t="shared" si="2"/>
        <v>8</v>
      </c>
      <c r="R213" s="833" t="s">
        <v>4025</v>
      </c>
      <c r="S213" s="834"/>
      <c r="T213" s="835"/>
      <c r="U213" s="835"/>
      <c r="V213" s="835"/>
      <c r="W213" s="835"/>
      <c r="X213" s="835"/>
      <c r="Y213" s="835"/>
      <c r="Z213" s="835"/>
      <c r="AA213" s="835"/>
      <c r="AB213" s="835"/>
      <c r="AC213" s="835"/>
      <c r="AD213" s="835"/>
      <c r="AE213" s="835"/>
      <c r="AF213" s="835"/>
    </row>
    <row r="214" spans="1:32" ht="52.5">
      <c r="A214" s="827" t="s">
        <v>1079</v>
      </c>
      <c r="B214" s="828" t="s">
        <v>4022</v>
      </c>
      <c r="C214" s="828" t="s">
        <v>1080</v>
      </c>
      <c r="D214" s="829" t="s">
        <v>1081</v>
      </c>
      <c r="E214" s="830" t="s">
        <v>4794</v>
      </c>
      <c r="F214" s="830" t="s">
        <v>4794</v>
      </c>
      <c r="G214" s="830" t="s">
        <v>4794</v>
      </c>
      <c r="H214" s="831">
        <v>3</v>
      </c>
      <c r="I214" s="831">
        <v>3</v>
      </c>
      <c r="J214" s="830" t="s">
        <v>4794</v>
      </c>
      <c r="K214" s="830" t="s">
        <v>4794</v>
      </c>
      <c r="L214" s="830"/>
      <c r="M214" s="830" t="s">
        <v>4794</v>
      </c>
      <c r="N214" s="830" t="s">
        <v>4794</v>
      </c>
      <c r="O214" s="830" t="s">
        <v>4794</v>
      </c>
      <c r="P214" s="830" t="s">
        <v>4794</v>
      </c>
      <c r="Q214" s="832">
        <f t="shared" si="2"/>
        <v>6</v>
      </c>
      <c r="R214" s="833" t="s">
        <v>4025</v>
      </c>
      <c r="S214" s="834"/>
      <c r="T214" s="835"/>
      <c r="U214" s="835"/>
      <c r="V214" s="835"/>
      <c r="W214" s="835"/>
      <c r="X214" s="835"/>
      <c r="Y214" s="835"/>
      <c r="Z214" s="835"/>
      <c r="AA214" s="835"/>
      <c r="AB214" s="835"/>
      <c r="AC214" s="835"/>
      <c r="AD214" s="835"/>
      <c r="AE214" s="835"/>
      <c r="AF214" s="835"/>
    </row>
    <row r="215" spans="1:32" ht="52.5">
      <c r="A215" s="827" t="s">
        <v>1082</v>
      </c>
      <c r="B215" s="828" t="s">
        <v>4022</v>
      </c>
      <c r="C215" s="828" t="s">
        <v>1083</v>
      </c>
      <c r="D215" s="829" t="s">
        <v>1084</v>
      </c>
      <c r="E215" s="830" t="s">
        <v>4794</v>
      </c>
      <c r="F215" s="830" t="s">
        <v>4794</v>
      </c>
      <c r="G215" s="830" t="s">
        <v>4794</v>
      </c>
      <c r="H215" s="831">
        <v>3</v>
      </c>
      <c r="I215" s="831">
        <v>3</v>
      </c>
      <c r="J215" s="830" t="s">
        <v>4794</v>
      </c>
      <c r="K215" s="830" t="s">
        <v>4794</v>
      </c>
      <c r="L215" s="830"/>
      <c r="M215" s="830" t="s">
        <v>4794</v>
      </c>
      <c r="N215" s="830" t="s">
        <v>4794</v>
      </c>
      <c r="O215" s="830" t="s">
        <v>4794</v>
      </c>
      <c r="P215" s="830" t="s">
        <v>4794</v>
      </c>
      <c r="Q215" s="832">
        <f t="shared" si="2"/>
        <v>6</v>
      </c>
      <c r="R215" s="833" t="s">
        <v>4025</v>
      </c>
      <c r="S215" s="834"/>
      <c r="T215" s="835"/>
      <c r="U215" s="835"/>
      <c r="V215" s="835"/>
      <c r="W215" s="835"/>
      <c r="X215" s="835"/>
      <c r="Y215" s="835"/>
      <c r="Z215" s="835"/>
      <c r="AA215" s="835"/>
      <c r="AB215" s="835"/>
      <c r="AC215" s="835"/>
      <c r="AD215" s="835"/>
      <c r="AE215" s="835"/>
      <c r="AF215" s="835"/>
    </row>
    <row r="216" spans="1:32" ht="63">
      <c r="A216" s="827" t="s">
        <v>1085</v>
      </c>
      <c r="B216" s="828" t="s">
        <v>4022</v>
      </c>
      <c r="C216" s="828" t="s">
        <v>1086</v>
      </c>
      <c r="D216" s="829" t="s">
        <v>1087</v>
      </c>
      <c r="E216" s="830" t="s">
        <v>4794</v>
      </c>
      <c r="F216" s="830" t="s">
        <v>4794</v>
      </c>
      <c r="G216" s="830" t="s">
        <v>4794</v>
      </c>
      <c r="H216" s="831">
        <v>4</v>
      </c>
      <c r="I216" s="831">
        <v>2</v>
      </c>
      <c r="J216" s="830" t="s">
        <v>4794</v>
      </c>
      <c r="K216" s="831">
        <v>2</v>
      </c>
      <c r="L216" s="830"/>
      <c r="M216" s="830" t="s">
        <v>4794</v>
      </c>
      <c r="N216" s="830" t="s">
        <v>4794</v>
      </c>
      <c r="O216" s="830" t="s">
        <v>4794</v>
      </c>
      <c r="P216" s="830" t="s">
        <v>4794</v>
      </c>
      <c r="Q216" s="832">
        <f t="shared" si="2"/>
        <v>8</v>
      </c>
      <c r="R216" s="833" t="s">
        <v>4025</v>
      </c>
      <c r="S216" s="834"/>
      <c r="T216" s="835"/>
      <c r="U216" s="835"/>
      <c r="V216" s="835"/>
      <c r="W216" s="835"/>
      <c r="X216" s="835"/>
      <c r="Y216" s="835"/>
      <c r="Z216" s="835"/>
      <c r="AA216" s="835"/>
      <c r="AB216" s="835"/>
      <c r="AC216" s="835"/>
      <c r="AD216" s="835"/>
      <c r="AE216" s="835"/>
      <c r="AF216" s="835"/>
    </row>
    <row r="217" spans="1:32" ht="42">
      <c r="A217" s="827" t="s">
        <v>1088</v>
      </c>
      <c r="B217" s="828" t="s">
        <v>4022</v>
      </c>
      <c r="C217" s="828" t="s">
        <v>1089</v>
      </c>
      <c r="D217" s="829" t="s">
        <v>1090</v>
      </c>
      <c r="E217" s="830" t="s">
        <v>4794</v>
      </c>
      <c r="F217" s="830" t="s">
        <v>4794</v>
      </c>
      <c r="G217" s="830" t="s">
        <v>4794</v>
      </c>
      <c r="H217" s="831">
        <v>2</v>
      </c>
      <c r="I217" s="831">
        <v>2</v>
      </c>
      <c r="J217" s="831">
        <v>2</v>
      </c>
      <c r="K217" s="831">
        <v>2</v>
      </c>
      <c r="L217" s="830"/>
      <c r="M217" s="830" t="s">
        <v>4794</v>
      </c>
      <c r="N217" s="830" t="s">
        <v>4794</v>
      </c>
      <c r="O217" s="830" t="s">
        <v>4794</v>
      </c>
      <c r="P217" s="830" t="s">
        <v>4794</v>
      </c>
      <c r="Q217" s="832">
        <f t="shared" si="2"/>
        <v>8</v>
      </c>
      <c r="R217" s="833" t="s">
        <v>4025</v>
      </c>
      <c r="S217" s="834"/>
      <c r="T217" s="835"/>
      <c r="U217" s="835"/>
      <c r="V217" s="835"/>
      <c r="W217" s="835"/>
      <c r="X217" s="835"/>
      <c r="Y217" s="835"/>
      <c r="Z217" s="835"/>
      <c r="AA217" s="835"/>
      <c r="AB217" s="835"/>
      <c r="AC217" s="835"/>
      <c r="AD217" s="835"/>
      <c r="AE217" s="835"/>
      <c r="AF217" s="835"/>
    </row>
    <row r="218" spans="1:32" ht="73.5">
      <c r="A218" s="827" t="s">
        <v>1091</v>
      </c>
      <c r="B218" s="828" t="s">
        <v>4022</v>
      </c>
      <c r="C218" s="828" t="s">
        <v>1092</v>
      </c>
      <c r="D218" s="829" t="s">
        <v>1093</v>
      </c>
      <c r="E218" s="830" t="s">
        <v>4794</v>
      </c>
      <c r="F218" s="830" t="s">
        <v>4794</v>
      </c>
      <c r="G218" s="830" t="s">
        <v>4794</v>
      </c>
      <c r="H218" s="831">
        <v>3</v>
      </c>
      <c r="I218" s="830" t="s">
        <v>4794</v>
      </c>
      <c r="J218" s="831">
        <v>3</v>
      </c>
      <c r="K218" s="830" t="s">
        <v>4794</v>
      </c>
      <c r="L218" s="830"/>
      <c r="M218" s="830" t="s">
        <v>4794</v>
      </c>
      <c r="N218" s="830" t="s">
        <v>4794</v>
      </c>
      <c r="O218" s="830" t="s">
        <v>4794</v>
      </c>
      <c r="P218" s="830" t="s">
        <v>4794</v>
      </c>
      <c r="Q218" s="832">
        <f t="shared" si="2"/>
        <v>6</v>
      </c>
      <c r="R218" s="833" t="s">
        <v>4025</v>
      </c>
      <c r="S218" s="834"/>
      <c r="T218" s="835"/>
      <c r="U218" s="835"/>
      <c r="V218" s="835"/>
      <c r="W218" s="835"/>
      <c r="X218" s="835"/>
      <c r="Y218" s="835"/>
      <c r="Z218" s="835"/>
      <c r="AA218" s="835"/>
      <c r="AB218" s="835"/>
      <c r="AC218" s="835"/>
      <c r="AD218" s="835"/>
      <c r="AE218" s="835"/>
      <c r="AF218" s="835"/>
    </row>
    <row r="219" spans="1:32" ht="52.5">
      <c r="A219" s="827" t="s">
        <v>1094</v>
      </c>
      <c r="B219" s="828" t="s">
        <v>4022</v>
      </c>
      <c r="C219" s="828" t="s">
        <v>1095</v>
      </c>
      <c r="D219" s="829" t="s">
        <v>1096</v>
      </c>
      <c r="E219" s="830" t="s">
        <v>4794</v>
      </c>
      <c r="F219" s="830" t="s">
        <v>4794</v>
      </c>
      <c r="G219" s="830" t="s">
        <v>4794</v>
      </c>
      <c r="H219" s="831">
        <v>4</v>
      </c>
      <c r="I219" s="831">
        <v>1</v>
      </c>
      <c r="J219" s="831">
        <v>2</v>
      </c>
      <c r="K219" s="831">
        <v>2</v>
      </c>
      <c r="L219" s="830"/>
      <c r="M219" s="830" t="s">
        <v>4794</v>
      </c>
      <c r="N219" s="830" t="s">
        <v>4794</v>
      </c>
      <c r="O219" s="830" t="s">
        <v>4794</v>
      </c>
      <c r="P219" s="830" t="s">
        <v>4794</v>
      </c>
      <c r="Q219" s="832">
        <f t="shared" si="2"/>
        <v>9</v>
      </c>
      <c r="R219" s="833" t="s">
        <v>4025</v>
      </c>
      <c r="S219" s="834"/>
      <c r="T219" s="835"/>
      <c r="U219" s="835"/>
      <c r="V219" s="835"/>
      <c r="W219" s="835"/>
      <c r="X219" s="835"/>
      <c r="Y219" s="835"/>
      <c r="Z219" s="835"/>
      <c r="AA219" s="835"/>
      <c r="AB219" s="835"/>
      <c r="AC219" s="835"/>
      <c r="AD219" s="835"/>
      <c r="AE219" s="835"/>
      <c r="AF219" s="835"/>
    </row>
    <row r="220" spans="1:32" ht="52.5">
      <c r="A220" s="827" t="s">
        <v>1097</v>
      </c>
      <c r="B220" s="828" t="s">
        <v>4022</v>
      </c>
      <c r="C220" s="828" t="s">
        <v>1098</v>
      </c>
      <c r="D220" s="829" t="s">
        <v>1099</v>
      </c>
      <c r="E220" s="830" t="s">
        <v>4794</v>
      </c>
      <c r="F220" s="830" t="s">
        <v>4794</v>
      </c>
      <c r="G220" s="830" t="s">
        <v>4794</v>
      </c>
      <c r="H220" s="831">
        <v>4</v>
      </c>
      <c r="I220" s="830" t="s">
        <v>4794</v>
      </c>
      <c r="J220" s="831">
        <v>2</v>
      </c>
      <c r="K220" s="830" t="s">
        <v>4794</v>
      </c>
      <c r="L220" s="830"/>
      <c r="M220" s="830" t="s">
        <v>4794</v>
      </c>
      <c r="N220" s="830" t="s">
        <v>4794</v>
      </c>
      <c r="O220" s="830" t="s">
        <v>4794</v>
      </c>
      <c r="P220" s="830" t="s">
        <v>4794</v>
      </c>
      <c r="Q220" s="832">
        <f t="shared" si="2"/>
        <v>6</v>
      </c>
      <c r="R220" s="833" t="s">
        <v>4025</v>
      </c>
      <c r="S220" s="834"/>
      <c r="T220" s="835"/>
      <c r="U220" s="835"/>
      <c r="V220" s="835"/>
      <c r="W220" s="835"/>
      <c r="X220" s="835"/>
      <c r="Y220" s="835"/>
      <c r="Z220" s="835"/>
      <c r="AA220" s="835"/>
      <c r="AB220" s="835"/>
      <c r="AC220" s="835"/>
      <c r="AD220" s="835"/>
      <c r="AE220" s="835"/>
      <c r="AF220" s="835"/>
    </row>
    <row r="221" spans="1:32" ht="42">
      <c r="A221" s="827" t="s">
        <v>1100</v>
      </c>
      <c r="B221" s="828" t="s">
        <v>4022</v>
      </c>
      <c r="C221" s="828" t="s">
        <v>1101</v>
      </c>
      <c r="D221" s="829" t="s">
        <v>1102</v>
      </c>
      <c r="E221" s="830" t="s">
        <v>4794</v>
      </c>
      <c r="F221" s="830" t="s">
        <v>4794</v>
      </c>
      <c r="G221" s="830"/>
      <c r="H221" s="831">
        <v>3</v>
      </c>
      <c r="I221" s="830" t="s">
        <v>4794</v>
      </c>
      <c r="J221" s="830" t="s">
        <v>4794</v>
      </c>
      <c r="K221" s="830" t="s">
        <v>4794</v>
      </c>
      <c r="L221" s="831">
        <v>3</v>
      </c>
      <c r="M221" s="830" t="s">
        <v>4794</v>
      </c>
      <c r="N221" s="830" t="s">
        <v>4794</v>
      </c>
      <c r="O221" s="830" t="s">
        <v>4794</v>
      </c>
      <c r="P221" s="830" t="s">
        <v>4794</v>
      </c>
      <c r="Q221" s="832">
        <f t="shared" ref="Q221:Q293" si="3">SUM(E221:P221)</f>
        <v>6</v>
      </c>
      <c r="R221" s="833" t="s">
        <v>4025</v>
      </c>
      <c r="S221" s="834"/>
      <c r="T221" s="835"/>
      <c r="U221" s="835"/>
      <c r="V221" s="835"/>
      <c r="W221" s="835"/>
      <c r="X221" s="835"/>
      <c r="Y221" s="835"/>
      <c r="Z221" s="835"/>
      <c r="AA221" s="835"/>
      <c r="AB221" s="835"/>
      <c r="AC221" s="835"/>
      <c r="AD221" s="835"/>
      <c r="AE221" s="835"/>
      <c r="AF221" s="835"/>
    </row>
    <row r="222" spans="1:32" ht="42">
      <c r="A222" s="827" t="s">
        <v>1103</v>
      </c>
      <c r="B222" s="828" t="s">
        <v>4022</v>
      </c>
      <c r="C222" s="828" t="s">
        <v>1104</v>
      </c>
      <c r="D222" s="829" t="s">
        <v>1105</v>
      </c>
      <c r="E222" s="830" t="s">
        <v>4794</v>
      </c>
      <c r="F222" s="830" t="s">
        <v>4794</v>
      </c>
      <c r="G222" s="830"/>
      <c r="H222" s="831">
        <v>3</v>
      </c>
      <c r="I222" s="830" t="s">
        <v>4794</v>
      </c>
      <c r="J222" s="830" t="s">
        <v>4794</v>
      </c>
      <c r="K222" s="830" t="s">
        <v>4794</v>
      </c>
      <c r="L222" s="831">
        <v>3</v>
      </c>
      <c r="M222" s="830" t="s">
        <v>4794</v>
      </c>
      <c r="N222" s="830" t="s">
        <v>4794</v>
      </c>
      <c r="O222" s="830" t="s">
        <v>4794</v>
      </c>
      <c r="P222" s="830" t="s">
        <v>4794</v>
      </c>
      <c r="Q222" s="832">
        <f t="shared" si="3"/>
        <v>6</v>
      </c>
      <c r="R222" s="833" t="s">
        <v>4025</v>
      </c>
      <c r="S222" s="834"/>
      <c r="T222" s="835"/>
      <c r="U222" s="835"/>
      <c r="V222" s="835"/>
      <c r="W222" s="835"/>
      <c r="X222" s="835"/>
      <c r="Y222" s="835"/>
      <c r="Z222" s="835"/>
      <c r="AA222" s="835"/>
      <c r="AB222" s="835"/>
      <c r="AC222" s="835"/>
      <c r="AD222" s="835"/>
      <c r="AE222" s="835"/>
      <c r="AF222" s="835"/>
    </row>
    <row r="223" spans="1:32" ht="31.5">
      <c r="A223" s="827" t="s">
        <v>1106</v>
      </c>
      <c r="B223" s="828" t="s">
        <v>4022</v>
      </c>
      <c r="C223" s="828" t="s">
        <v>1107</v>
      </c>
      <c r="D223" s="829" t="s">
        <v>1108</v>
      </c>
      <c r="E223" s="830" t="s">
        <v>4794</v>
      </c>
      <c r="F223" s="830" t="s">
        <v>4794</v>
      </c>
      <c r="G223" s="830"/>
      <c r="H223" s="830" t="s">
        <v>4794</v>
      </c>
      <c r="I223" s="830" t="s">
        <v>4794</v>
      </c>
      <c r="J223" s="830" t="s">
        <v>4794</v>
      </c>
      <c r="K223" s="830" t="s">
        <v>4794</v>
      </c>
      <c r="L223" s="831">
        <v>3</v>
      </c>
      <c r="M223" s="830" t="s">
        <v>4794</v>
      </c>
      <c r="N223" s="830" t="s">
        <v>4794</v>
      </c>
      <c r="O223" s="830" t="s">
        <v>4794</v>
      </c>
      <c r="P223" s="830" t="s">
        <v>4794</v>
      </c>
      <c r="Q223" s="832">
        <f t="shared" si="3"/>
        <v>3</v>
      </c>
      <c r="R223" s="833" t="s">
        <v>4025</v>
      </c>
      <c r="S223" s="834"/>
      <c r="T223" s="835"/>
      <c r="U223" s="835"/>
      <c r="V223" s="835"/>
      <c r="W223" s="835"/>
      <c r="X223" s="835"/>
      <c r="Y223" s="835"/>
      <c r="Z223" s="835"/>
      <c r="AA223" s="835"/>
      <c r="AB223" s="835"/>
      <c r="AC223" s="835"/>
      <c r="AD223" s="835"/>
      <c r="AE223" s="835"/>
      <c r="AF223" s="835"/>
    </row>
    <row r="224" spans="1:32" ht="73.5">
      <c r="A224" s="827" t="s">
        <v>1109</v>
      </c>
      <c r="B224" s="828" t="s">
        <v>4022</v>
      </c>
      <c r="C224" s="828" t="s">
        <v>1110</v>
      </c>
      <c r="D224" s="829" t="s">
        <v>1111</v>
      </c>
      <c r="E224" s="830" t="s">
        <v>4794</v>
      </c>
      <c r="F224" s="830" t="s">
        <v>4794</v>
      </c>
      <c r="G224" s="830"/>
      <c r="H224" s="830" t="s">
        <v>4794</v>
      </c>
      <c r="I224" s="831">
        <v>5</v>
      </c>
      <c r="J224" s="831">
        <v>5</v>
      </c>
      <c r="K224" s="830" t="s">
        <v>4794</v>
      </c>
      <c r="L224" s="830" t="s">
        <v>4794</v>
      </c>
      <c r="M224" s="830" t="s">
        <v>4794</v>
      </c>
      <c r="N224" s="830" t="s">
        <v>4794</v>
      </c>
      <c r="O224" s="830" t="s">
        <v>4794</v>
      </c>
      <c r="P224" s="830" t="s">
        <v>4794</v>
      </c>
      <c r="Q224" s="832">
        <f t="shared" si="3"/>
        <v>10</v>
      </c>
      <c r="R224" s="833" t="s">
        <v>4025</v>
      </c>
      <c r="S224" s="834"/>
      <c r="T224" s="835"/>
      <c r="U224" s="835"/>
      <c r="V224" s="835"/>
      <c r="W224" s="835"/>
      <c r="X224" s="835"/>
      <c r="Y224" s="835"/>
      <c r="Z224" s="835"/>
      <c r="AA224" s="835"/>
      <c r="AB224" s="835"/>
      <c r="AC224" s="835"/>
      <c r="AD224" s="835"/>
      <c r="AE224" s="835"/>
      <c r="AF224" s="835"/>
    </row>
    <row r="225" spans="1:32" ht="73.5">
      <c r="A225" s="827" t="s">
        <v>1112</v>
      </c>
      <c r="B225" s="828" t="s">
        <v>4022</v>
      </c>
      <c r="C225" s="828" t="s">
        <v>1113</v>
      </c>
      <c r="D225" s="829" t="s">
        <v>1114</v>
      </c>
      <c r="E225" s="830" t="s">
        <v>4794</v>
      </c>
      <c r="F225" s="830" t="s">
        <v>4794</v>
      </c>
      <c r="G225" s="830" t="s">
        <v>4794</v>
      </c>
      <c r="H225" s="830"/>
      <c r="I225" s="831">
        <v>5</v>
      </c>
      <c r="J225" s="830" t="s">
        <v>4794</v>
      </c>
      <c r="K225" s="830"/>
      <c r="L225" s="830" t="s">
        <v>4794</v>
      </c>
      <c r="M225" s="830" t="s">
        <v>4794</v>
      </c>
      <c r="N225" s="830" t="s">
        <v>4794</v>
      </c>
      <c r="O225" s="830">
        <v>5</v>
      </c>
      <c r="P225" s="830" t="s">
        <v>4794</v>
      </c>
      <c r="Q225" s="832">
        <f t="shared" si="3"/>
        <v>10</v>
      </c>
      <c r="R225" s="833" t="s">
        <v>4025</v>
      </c>
      <c r="S225" s="834"/>
      <c r="T225" s="835"/>
      <c r="U225" s="835"/>
      <c r="V225" s="835"/>
      <c r="W225" s="835"/>
      <c r="X225" s="835"/>
      <c r="Y225" s="835"/>
      <c r="Z225" s="835"/>
      <c r="AA225" s="835"/>
      <c r="AB225" s="835"/>
      <c r="AC225" s="835"/>
      <c r="AD225" s="835"/>
      <c r="AE225" s="835"/>
      <c r="AF225" s="835"/>
    </row>
    <row r="226" spans="1:32" ht="73.5">
      <c r="A226" s="827" t="s">
        <v>1115</v>
      </c>
      <c r="B226" s="828" t="s">
        <v>4022</v>
      </c>
      <c r="C226" s="828" t="s">
        <v>1116</v>
      </c>
      <c r="D226" s="829" t="s">
        <v>1117</v>
      </c>
      <c r="E226" s="830" t="s">
        <v>4794</v>
      </c>
      <c r="F226" s="830" t="s">
        <v>4794</v>
      </c>
      <c r="G226" s="830" t="s">
        <v>4794</v>
      </c>
      <c r="H226" s="830"/>
      <c r="I226" s="830"/>
      <c r="J226" s="831">
        <v>5</v>
      </c>
      <c r="K226" s="831">
        <v>5</v>
      </c>
      <c r="L226" s="830" t="s">
        <v>4794</v>
      </c>
      <c r="M226" s="830" t="s">
        <v>4794</v>
      </c>
      <c r="N226" s="830" t="s">
        <v>4794</v>
      </c>
      <c r="O226" s="830" t="s">
        <v>4794</v>
      </c>
      <c r="P226" s="830" t="s">
        <v>4794</v>
      </c>
      <c r="Q226" s="832">
        <f t="shared" si="3"/>
        <v>10</v>
      </c>
      <c r="R226" s="833" t="s">
        <v>4025</v>
      </c>
      <c r="S226" s="834"/>
      <c r="T226" s="835"/>
      <c r="U226" s="835"/>
      <c r="V226" s="835"/>
      <c r="W226" s="835"/>
      <c r="X226" s="835"/>
      <c r="Y226" s="835"/>
      <c r="Z226" s="835"/>
      <c r="AA226" s="835"/>
      <c r="AB226" s="835"/>
      <c r="AC226" s="835"/>
      <c r="AD226" s="835"/>
      <c r="AE226" s="835"/>
      <c r="AF226" s="835"/>
    </row>
    <row r="227" spans="1:32" ht="73.5">
      <c r="A227" s="827" t="s">
        <v>1118</v>
      </c>
      <c r="B227" s="828" t="s">
        <v>4022</v>
      </c>
      <c r="C227" s="828" t="s">
        <v>1119</v>
      </c>
      <c r="D227" s="829" t="s">
        <v>1120</v>
      </c>
      <c r="E227" s="830" t="s">
        <v>4794</v>
      </c>
      <c r="F227" s="830" t="s">
        <v>4794</v>
      </c>
      <c r="G227" s="830" t="s">
        <v>4794</v>
      </c>
      <c r="H227" s="830"/>
      <c r="I227" s="831">
        <v>5</v>
      </c>
      <c r="J227" s="830" t="s">
        <v>4794</v>
      </c>
      <c r="K227" s="831">
        <v>5</v>
      </c>
      <c r="L227" s="830" t="s">
        <v>4794</v>
      </c>
      <c r="M227" s="830" t="s">
        <v>4794</v>
      </c>
      <c r="N227" s="830" t="s">
        <v>4794</v>
      </c>
      <c r="O227" s="830" t="s">
        <v>4794</v>
      </c>
      <c r="P227" s="830" t="s">
        <v>4794</v>
      </c>
      <c r="Q227" s="832">
        <f t="shared" si="3"/>
        <v>10</v>
      </c>
      <c r="R227" s="833" t="s">
        <v>4025</v>
      </c>
      <c r="S227" s="834"/>
      <c r="T227" s="835"/>
      <c r="U227" s="835"/>
      <c r="V227" s="835"/>
      <c r="W227" s="835"/>
      <c r="X227" s="835"/>
      <c r="Y227" s="835"/>
      <c r="Z227" s="835"/>
      <c r="AA227" s="835"/>
      <c r="AB227" s="835"/>
      <c r="AC227" s="835"/>
      <c r="AD227" s="835"/>
      <c r="AE227" s="835"/>
      <c r="AF227" s="835"/>
    </row>
    <row r="228" spans="1:32" ht="73.5">
      <c r="A228" s="827" t="s">
        <v>1121</v>
      </c>
      <c r="B228" s="828" t="s">
        <v>4022</v>
      </c>
      <c r="C228" s="828" t="s">
        <v>1122</v>
      </c>
      <c r="D228" s="829" t="s">
        <v>1123</v>
      </c>
      <c r="E228" s="830" t="s">
        <v>4794</v>
      </c>
      <c r="F228" s="830" t="s">
        <v>4794</v>
      </c>
      <c r="G228" s="830" t="s">
        <v>4794</v>
      </c>
      <c r="H228" s="830"/>
      <c r="I228" s="831">
        <v>5</v>
      </c>
      <c r="J228" s="830" t="s">
        <v>4794</v>
      </c>
      <c r="K228" s="831">
        <v>5</v>
      </c>
      <c r="L228" s="830" t="s">
        <v>4794</v>
      </c>
      <c r="M228" s="830"/>
      <c r="N228" s="830" t="s">
        <v>4794</v>
      </c>
      <c r="O228" s="830" t="s">
        <v>4794</v>
      </c>
      <c r="P228" s="830" t="s">
        <v>4794</v>
      </c>
      <c r="Q228" s="832">
        <f t="shared" si="3"/>
        <v>10</v>
      </c>
      <c r="R228" s="833" t="s">
        <v>4025</v>
      </c>
      <c r="S228" s="834"/>
      <c r="T228" s="835"/>
      <c r="U228" s="835"/>
      <c r="V228" s="835"/>
      <c r="W228" s="835"/>
      <c r="X228" s="835"/>
      <c r="Y228" s="835"/>
      <c r="Z228" s="835"/>
      <c r="AA228" s="835"/>
      <c r="AB228" s="835"/>
      <c r="AC228" s="835"/>
      <c r="AD228" s="835"/>
      <c r="AE228" s="835"/>
      <c r="AF228" s="835"/>
    </row>
    <row r="229" spans="1:32" ht="63">
      <c r="A229" s="827" t="s">
        <v>1124</v>
      </c>
      <c r="B229" s="828" t="s">
        <v>4022</v>
      </c>
      <c r="C229" s="828" t="s">
        <v>1125</v>
      </c>
      <c r="D229" s="829" t="s">
        <v>1126</v>
      </c>
      <c r="E229" s="830" t="s">
        <v>4794</v>
      </c>
      <c r="F229" s="830" t="s">
        <v>4794</v>
      </c>
      <c r="G229" s="830" t="s">
        <v>4794</v>
      </c>
      <c r="H229" s="830"/>
      <c r="I229" s="830"/>
      <c r="J229" s="830" t="s">
        <v>4794</v>
      </c>
      <c r="K229" s="831">
        <v>5</v>
      </c>
      <c r="L229" s="830" t="s">
        <v>4794</v>
      </c>
      <c r="M229" s="830" t="s">
        <v>4794</v>
      </c>
      <c r="N229" s="830" t="s">
        <v>4794</v>
      </c>
      <c r="O229" s="830" t="s">
        <v>4794</v>
      </c>
      <c r="P229" s="830"/>
      <c r="Q229" s="832">
        <f t="shared" si="3"/>
        <v>5</v>
      </c>
      <c r="R229" s="833" t="s">
        <v>4025</v>
      </c>
      <c r="S229" s="834"/>
      <c r="T229" s="835"/>
      <c r="U229" s="835"/>
      <c r="V229" s="835"/>
      <c r="W229" s="835"/>
      <c r="X229" s="835"/>
      <c r="Y229" s="835"/>
      <c r="Z229" s="835"/>
      <c r="AA229" s="835"/>
      <c r="AB229" s="835"/>
      <c r="AC229" s="835"/>
      <c r="AD229" s="835"/>
      <c r="AE229" s="835"/>
      <c r="AF229" s="835"/>
    </row>
    <row r="230" spans="1:32" ht="73.5">
      <c r="A230" s="827" t="s">
        <v>1127</v>
      </c>
      <c r="B230" s="828" t="s">
        <v>4022</v>
      </c>
      <c r="C230" s="828" t="s">
        <v>1128</v>
      </c>
      <c r="D230" s="829" t="s">
        <v>1129</v>
      </c>
      <c r="E230" s="830" t="s">
        <v>4794</v>
      </c>
      <c r="F230" s="830" t="s">
        <v>4794</v>
      </c>
      <c r="G230" s="830"/>
      <c r="H230" s="830"/>
      <c r="I230" s="830"/>
      <c r="J230" s="831">
        <v>5</v>
      </c>
      <c r="K230" s="830" t="s">
        <v>4794</v>
      </c>
      <c r="L230" s="830" t="s">
        <v>4794</v>
      </c>
      <c r="M230" s="830" t="s">
        <v>4794</v>
      </c>
      <c r="N230" s="830" t="s">
        <v>4794</v>
      </c>
      <c r="O230" s="830" t="s">
        <v>4794</v>
      </c>
      <c r="P230" s="830" t="s">
        <v>4794</v>
      </c>
      <c r="Q230" s="832">
        <f t="shared" si="3"/>
        <v>5</v>
      </c>
      <c r="R230" s="833" t="s">
        <v>4025</v>
      </c>
      <c r="S230" s="834"/>
      <c r="T230" s="835"/>
      <c r="U230" s="835"/>
      <c r="V230" s="835"/>
      <c r="W230" s="835"/>
      <c r="X230" s="835"/>
      <c r="Y230" s="835"/>
      <c r="Z230" s="835"/>
      <c r="AA230" s="835"/>
      <c r="AB230" s="835"/>
      <c r="AC230" s="835"/>
      <c r="AD230" s="835"/>
      <c r="AE230" s="835"/>
      <c r="AF230" s="835"/>
    </row>
    <row r="231" spans="1:32" ht="73.5">
      <c r="A231" s="827" t="s">
        <v>1130</v>
      </c>
      <c r="B231" s="828" t="s">
        <v>4022</v>
      </c>
      <c r="C231" s="828" t="s">
        <v>1131</v>
      </c>
      <c r="D231" s="829" t="s">
        <v>1132</v>
      </c>
      <c r="E231" s="830" t="s">
        <v>4794</v>
      </c>
      <c r="F231" s="830" t="s">
        <v>4794</v>
      </c>
      <c r="G231" s="830" t="s">
        <v>4794</v>
      </c>
      <c r="H231" s="830"/>
      <c r="I231" s="830"/>
      <c r="J231" s="831">
        <v>5</v>
      </c>
      <c r="K231" s="830" t="s">
        <v>4794</v>
      </c>
      <c r="L231" s="831">
        <v>5</v>
      </c>
      <c r="M231" s="830" t="s">
        <v>4794</v>
      </c>
      <c r="N231" s="830" t="s">
        <v>4794</v>
      </c>
      <c r="O231" s="830" t="s">
        <v>4794</v>
      </c>
      <c r="P231" s="830" t="s">
        <v>4794</v>
      </c>
      <c r="Q231" s="832">
        <f t="shared" si="3"/>
        <v>10</v>
      </c>
      <c r="R231" s="833" t="s">
        <v>4025</v>
      </c>
      <c r="S231" s="834"/>
      <c r="T231" s="835"/>
      <c r="U231" s="835"/>
      <c r="V231" s="835"/>
      <c r="W231" s="835"/>
      <c r="X231" s="835"/>
      <c r="Y231" s="835"/>
      <c r="Z231" s="835"/>
      <c r="AA231" s="835"/>
      <c r="AB231" s="835"/>
      <c r="AC231" s="835"/>
      <c r="AD231" s="835"/>
      <c r="AE231" s="835"/>
      <c r="AF231" s="835"/>
    </row>
    <row r="232" spans="1:32" ht="73.5">
      <c r="A232" s="827" t="s">
        <v>1133</v>
      </c>
      <c r="B232" s="828" t="s">
        <v>4022</v>
      </c>
      <c r="C232" s="828" t="s">
        <v>1134</v>
      </c>
      <c r="D232" s="829" t="s">
        <v>1135</v>
      </c>
      <c r="E232" s="830" t="s">
        <v>4794</v>
      </c>
      <c r="F232" s="830" t="s">
        <v>4794</v>
      </c>
      <c r="G232" s="830" t="s">
        <v>4794</v>
      </c>
      <c r="H232" s="830"/>
      <c r="I232" s="830"/>
      <c r="J232" s="831">
        <v>5</v>
      </c>
      <c r="K232" s="830" t="s">
        <v>4794</v>
      </c>
      <c r="L232" s="831">
        <v>5</v>
      </c>
      <c r="M232" s="830" t="s">
        <v>4794</v>
      </c>
      <c r="N232" s="830" t="s">
        <v>4794</v>
      </c>
      <c r="O232" s="830" t="s">
        <v>4794</v>
      </c>
      <c r="P232" s="830" t="s">
        <v>4794</v>
      </c>
      <c r="Q232" s="832">
        <f t="shared" si="3"/>
        <v>10</v>
      </c>
      <c r="R232" s="833" t="s">
        <v>4025</v>
      </c>
      <c r="S232" s="834"/>
      <c r="T232" s="835"/>
      <c r="U232" s="835"/>
      <c r="V232" s="835"/>
      <c r="W232" s="835"/>
      <c r="X232" s="835"/>
      <c r="Y232" s="835"/>
      <c r="Z232" s="835"/>
      <c r="AA232" s="835"/>
      <c r="AB232" s="835"/>
      <c r="AC232" s="835"/>
      <c r="AD232" s="835"/>
      <c r="AE232" s="835"/>
      <c r="AF232" s="835"/>
    </row>
    <row r="233" spans="1:32" ht="73.5">
      <c r="A233" s="827" t="s">
        <v>1136</v>
      </c>
      <c r="B233" s="828" t="s">
        <v>4022</v>
      </c>
      <c r="C233" s="828" t="s">
        <v>1137</v>
      </c>
      <c r="D233" s="829" t="s">
        <v>1138</v>
      </c>
      <c r="E233" s="830" t="s">
        <v>4794</v>
      </c>
      <c r="F233" s="830" t="s">
        <v>4794</v>
      </c>
      <c r="G233" s="830" t="s">
        <v>4794</v>
      </c>
      <c r="H233" s="830" t="s">
        <v>4794</v>
      </c>
      <c r="I233" s="830"/>
      <c r="J233" s="831">
        <v>5</v>
      </c>
      <c r="K233" s="830" t="s">
        <v>4794</v>
      </c>
      <c r="L233" s="830" t="s">
        <v>4794</v>
      </c>
      <c r="M233" s="830" t="s">
        <v>4794</v>
      </c>
      <c r="N233" s="831">
        <v>5</v>
      </c>
      <c r="O233" s="830" t="s">
        <v>4794</v>
      </c>
      <c r="P233" s="830" t="s">
        <v>4794</v>
      </c>
      <c r="Q233" s="832">
        <f t="shared" si="3"/>
        <v>10</v>
      </c>
      <c r="R233" s="833" t="s">
        <v>4025</v>
      </c>
      <c r="S233" s="834"/>
      <c r="T233" s="835"/>
      <c r="U233" s="835"/>
      <c r="V233" s="835"/>
      <c r="W233" s="835"/>
      <c r="X233" s="835"/>
      <c r="Y233" s="835"/>
      <c r="Z233" s="835"/>
      <c r="AA233" s="835"/>
      <c r="AB233" s="835"/>
      <c r="AC233" s="835"/>
      <c r="AD233" s="835"/>
      <c r="AE233" s="835"/>
      <c r="AF233" s="835"/>
    </row>
    <row r="234" spans="1:32" ht="73.5">
      <c r="A234" s="827" t="s">
        <v>1139</v>
      </c>
      <c r="B234" s="828" t="s">
        <v>4022</v>
      </c>
      <c r="C234" s="828" t="s">
        <v>1140</v>
      </c>
      <c r="D234" s="829" t="s">
        <v>1141</v>
      </c>
      <c r="E234" s="830" t="s">
        <v>4794</v>
      </c>
      <c r="F234" s="830" t="s">
        <v>4794</v>
      </c>
      <c r="G234" s="830"/>
      <c r="H234" s="830" t="s">
        <v>4794</v>
      </c>
      <c r="I234" s="830" t="s">
        <v>4794</v>
      </c>
      <c r="J234" s="831">
        <v>5</v>
      </c>
      <c r="K234" s="830" t="s">
        <v>4794</v>
      </c>
      <c r="L234" s="831">
        <v>5</v>
      </c>
      <c r="M234" s="830" t="s">
        <v>4794</v>
      </c>
      <c r="N234" s="830" t="s">
        <v>4794</v>
      </c>
      <c r="O234" s="830" t="s">
        <v>4794</v>
      </c>
      <c r="P234" s="830" t="s">
        <v>4794</v>
      </c>
      <c r="Q234" s="832">
        <f t="shared" si="3"/>
        <v>10</v>
      </c>
      <c r="R234" s="833" t="s">
        <v>4025</v>
      </c>
      <c r="S234" s="834"/>
      <c r="T234" s="835"/>
      <c r="U234" s="835"/>
      <c r="V234" s="835"/>
      <c r="W234" s="835"/>
      <c r="X234" s="835"/>
      <c r="Y234" s="835"/>
      <c r="Z234" s="835"/>
      <c r="AA234" s="835"/>
      <c r="AB234" s="835"/>
      <c r="AC234" s="835"/>
      <c r="AD234" s="835"/>
      <c r="AE234" s="835"/>
      <c r="AF234" s="835"/>
    </row>
    <row r="235" spans="1:32" ht="73.5">
      <c r="A235" s="827" t="s">
        <v>1142</v>
      </c>
      <c r="B235" s="828" t="s">
        <v>4022</v>
      </c>
      <c r="C235" s="828" t="s">
        <v>1143</v>
      </c>
      <c r="D235" s="829" t="s">
        <v>1144</v>
      </c>
      <c r="E235" s="830" t="s">
        <v>4794</v>
      </c>
      <c r="F235" s="830" t="s">
        <v>4794</v>
      </c>
      <c r="G235" s="830"/>
      <c r="H235" s="830" t="s">
        <v>4794</v>
      </c>
      <c r="I235" s="830" t="s">
        <v>4794</v>
      </c>
      <c r="J235" s="831">
        <v>5</v>
      </c>
      <c r="K235" s="830" t="s">
        <v>4794</v>
      </c>
      <c r="L235" s="830"/>
      <c r="M235" s="830" t="s">
        <v>4794</v>
      </c>
      <c r="N235" s="830" t="s">
        <v>4794</v>
      </c>
      <c r="O235" s="830" t="s">
        <v>4794</v>
      </c>
      <c r="P235" s="830" t="s">
        <v>4794</v>
      </c>
      <c r="Q235" s="832">
        <f t="shared" si="3"/>
        <v>5</v>
      </c>
      <c r="R235" s="833" t="s">
        <v>4025</v>
      </c>
      <c r="S235" s="834"/>
      <c r="T235" s="835"/>
      <c r="U235" s="835"/>
      <c r="V235" s="835"/>
      <c r="W235" s="835"/>
      <c r="X235" s="835"/>
      <c r="Y235" s="835"/>
      <c r="Z235" s="835"/>
      <c r="AA235" s="835"/>
      <c r="AB235" s="835"/>
      <c r="AC235" s="835"/>
      <c r="AD235" s="835"/>
      <c r="AE235" s="835"/>
      <c r="AF235" s="835"/>
    </row>
    <row r="236" spans="1:32" ht="42">
      <c r="A236" s="827" t="s">
        <v>1145</v>
      </c>
      <c r="B236" s="828" t="s">
        <v>4022</v>
      </c>
      <c r="C236" s="828" t="s">
        <v>1146</v>
      </c>
      <c r="D236" s="829" t="s">
        <v>1147</v>
      </c>
      <c r="E236" s="830" t="s">
        <v>4794</v>
      </c>
      <c r="F236" s="830" t="s">
        <v>4794</v>
      </c>
      <c r="G236" s="830" t="s">
        <v>4794</v>
      </c>
      <c r="H236" s="830" t="s">
        <v>4794</v>
      </c>
      <c r="I236" s="831">
        <v>5</v>
      </c>
      <c r="J236" s="830" t="s">
        <v>4794</v>
      </c>
      <c r="K236" s="831">
        <v>5</v>
      </c>
      <c r="L236" s="830" t="s">
        <v>4794</v>
      </c>
      <c r="M236" s="830" t="s">
        <v>4794</v>
      </c>
      <c r="N236" s="830"/>
      <c r="O236" s="830" t="s">
        <v>4794</v>
      </c>
      <c r="P236" s="830" t="s">
        <v>4794</v>
      </c>
      <c r="Q236" s="832">
        <f t="shared" si="3"/>
        <v>10</v>
      </c>
      <c r="R236" s="833" t="s">
        <v>4025</v>
      </c>
      <c r="S236" s="834"/>
      <c r="T236" s="853"/>
      <c r="U236" s="853"/>
      <c r="V236" s="853"/>
      <c r="W236" s="853"/>
      <c r="X236" s="853"/>
      <c r="Y236" s="853"/>
      <c r="Z236" s="853"/>
      <c r="AA236" s="853"/>
      <c r="AB236" s="853"/>
      <c r="AC236" s="853"/>
      <c r="AD236" s="853"/>
      <c r="AE236" s="853"/>
      <c r="AF236" s="835"/>
    </row>
    <row r="237" spans="1:32" ht="42">
      <c r="A237" s="827" t="s">
        <v>1148</v>
      </c>
      <c r="B237" s="828" t="s">
        <v>4022</v>
      </c>
      <c r="C237" s="828" t="s">
        <v>1149</v>
      </c>
      <c r="D237" s="829" t="s">
        <v>1150</v>
      </c>
      <c r="E237" s="830" t="s">
        <v>4794</v>
      </c>
      <c r="F237" s="830" t="s">
        <v>4794</v>
      </c>
      <c r="G237" s="830" t="s">
        <v>4794</v>
      </c>
      <c r="H237" s="830"/>
      <c r="I237" s="831">
        <v>4</v>
      </c>
      <c r="J237" s="831">
        <v>1</v>
      </c>
      <c r="K237" s="830" t="s">
        <v>4794</v>
      </c>
      <c r="L237" s="830"/>
      <c r="M237" s="830" t="s">
        <v>4794</v>
      </c>
      <c r="N237" s="830" t="s">
        <v>4794</v>
      </c>
      <c r="O237" s="830" t="s">
        <v>4794</v>
      </c>
      <c r="P237" s="830" t="s">
        <v>4794</v>
      </c>
      <c r="Q237" s="832">
        <f t="shared" si="3"/>
        <v>5</v>
      </c>
      <c r="R237" s="833" t="s">
        <v>4025</v>
      </c>
      <c r="S237" s="834"/>
      <c r="T237" s="853"/>
      <c r="U237" s="853"/>
      <c r="V237" s="853"/>
      <c r="W237" s="853"/>
      <c r="X237" s="853"/>
      <c r="Y237" s="853"/>
      <c r="Z237" s="853"/>
      <c r="AA237" s="853"/>
      <c r="AB237" s="853"/>
      <c r="AC237" s="853"/>
      <c r="AD237" s="853"/>
      <c r="AE237" s="853"/>
      <c r="AF237" s="835"/>
    </row>
    <row r="238" spans="1:32" ht="42">
      <c r="A238" s="827" t="s">
        <v>1151</v>
      </c>
      <c r="B238" s="828" t="s">
        <v>4022</v>
      </c>
      <c r="C238" s="828" t="s">
        <v>1152</v>
      </c>
      <c r="D238" s="829" t="s">
        <v>1153</v>
      </c>
      <c r="E238" s="830" t="s">
        <v>4794</v>
      </c>
      <c r="F238" s="830" t="s">
        <v>4794</v>
      </c>
      <c r="G238" s="830" t="s">
        <v>4794</v>
      </c>
      <c r="H238" s="830" t="s">
        <v>4794</v>
      </c>
      <c r="I238" s="831">
        <v>5</v>
      </c>
      <c r="J238" s="831">
        <v>5</v>
      </c>
      <c r="K238" s="830"/>
      <c r="L238" s="830" t="s">
        <v>4794</v>
      </c>
      <c r="M238" s="830" t="s">
        <v>4794</v>
      </c>
      <c r="N238" s="830"/>
      <c r="O238" s="830" t="s">
        <v>4794</v>
      </c>
      <c r="P238" s="830" t="s">
        <v>4794</v>
      </c>
      <c r="Q238" s="832">
        <f t="shared" si="3"/>
        <v>10</v>
      </c>
      <c r="R238" s="833" t="s">
        <v>4025</v>
      </c>
      <c r="S238" s="834"/>
      <c r="T238" s="835"/>
      <c r="U238" s="835"/>
      <c r="V238" s="835"/>
      <c r="W238" s="835"/>
      <c r="X238" s="835"/>
      <c r="Y238" s="835"/>
      <c r="Z238" s="835"/>
      <c r="AA238" s="835"/>
      <c r="AB238" s="835"/>
      <c r="AC238" s="835"/>
      <c r="AD238" s="835"/>
      <c r="AE238" s="835"/>
      <c r="AF238" s="835"/>
    </row>
    <row r="239" spans="1:32" ht="42">
      <c r="A239" s="827" t="s">
        <v>1154</v>
      </c>
      <c r="B239" s="828" t="s">
        <v>4022</v>
      </c>
      <c r="C239" s="828" t="s">
        <v>1155</v>
      </c>
      <c r="D239" s="829" t="s">
        <v>1156</v>
      </c>
      <c r="E239" s="830" t="s">
        <v>4794</v>
      </c>
      <c r="F239" s="830" t="s">
        <v>4794</v>
      </c>
      <c r="G239" s="830" t="s">
        <v>4794</v>
      </c>
      <c r="H239" s="830" t="s">
        <v>4794</v>
      </c>
      <c r="I239" s="831">
        <v>5</v>
      </c>
      <c r="J239" s="830" t="s">
        <v>4794</v>
      </c>
      <c r="K239" s="831">
        <v>5</v>
      </c>
      <c r="L239" s="830" t="s">
        <v>4794</v>
      </c>
      <c r="M239" s="830" t="s">
        <v>4794</v>
      </c>
      <c r="N239" s="830"/>
      <c r="O239" s="830" t="s">
        <v>4794</v>
      </c>
      <c r="P239" s="830" t="s">
        <v>4794</v>
      </c>
      <c r="Q239" s="832">
        <f t="shared" si="3"/>
        <v>10</v>
      </c>
      <c r="R239" s="833" t="s">
        <v>4025</v>
      </c>
      <c r="S239" s="834"/>
      <c r="T239" s="835"/>
      <c r="U239" s="835"/>
      <c r="V239" s="835"/>
      <c r="W239" s="835"/>
      <c r="X239" s="835"/>
      <c r="Y239" s="835"/>
      <c r="Z239" s="835"/>
      <c r="AA239" s="835"/>
      <c r="AB239" s="835"/>
      <c r="AC239" s="835"/>
      <c r="AD239" s="835"/>
      <c r="AE239" s="835"/>
      <c r="AF239" s="835"/>
    </row>
    <row r="240" spans="1:32" ht="42">
      <c r="A240" s="827" t="s">
        <v>1157</v>
      </c>
      <c r="B240" s="828" t="s">
        <v>4022</v>
      </c>
      <c r="C240" s="828" t="s">
        <v>1158</v>
      </c>
      <c r="D240" s="829" t="s">
        <v>1159</v>
      </c>
      <c r="E240" s="830" t="s">
        <v>4794</v>
      </c>
      <c r="F240" s="830" t="s">
        <v>4794</v>
      </c>
      <c r="G240" s="830" t="s">
        <v>4794</v>
      </c>
      <c r="H240" s="830" t="s">
        <v>4794</v>
      </c>
      <c r="I240" s="831">
        <v>5</v>
      </c>
      <c r="J240" s="830" t="s">
        <v>4794</v>
      </c>
      <c r="K240" s="831">
        <v>5</v>
      </c>
      <c r="L240" s="830" t="s">
        <v>4794</v>
      </c>
      <c r="M240" s="830" t="s">
        <v>4794</v>
      </c>
      <c r="N240" s="830"/>
      <c r="O240" s="830" t="s">
        <v>4794</v>
      </c>
      <c r="P240" s="830" t="s">
        <v>4794</v>
      </c>
      <c r="Q240" s="832">
        <f t="shared" si="3"/>
        <v>10</v>
      </c>
      <c r="R240" s="833" t="s">
        <v>4025</v>
      </c>
      <c r="S240" s="834"/>
      <c r="T240" s="835"/>
      <c r="U240" s="835"/>
      <c r="V240" s="835"/>
      <c r="W240" s="835"/>
      <c r="X240" s="835"/>
      <c r="Y240" s="835"/>
      <c r="Z240" s="835"/>
      <c r="AA240" s="835"/>
      <c r="AB240" s="835"/>
      <c r="AC240" s="835"/>
      <c r="AD240" s="835"/>
      <c r="AE240" s="835"/>
      <c r="AF240" s="835"/>
    </row>
    <row r="241" spans="1:32" ht="73.5">
      <c r="A241" s="827" t="s">
        <v>1160</v>
      </c>
      <c r="B241" s="828" t="s">
        <v>4022</v>
      </c>
      <c r="C241" s="828" t="s">
        <v>1161</v>
      </c>
      <c r="D241" s="829" t="s">
        <v>1162</v>
      </c>
      <c r="E241" s="830" t="s">
        <v>4794</v>
      </c>
      <c r="F241" s="830" t="s">
        <v>4794</v>
      </c>
      <c r="G241" s="830" t="s">
        <v>4794</v>
      </c>
      <c r="H241" s="830" t="s">
        <v>4794</v>
      </c>
      <c r="I241" s="831">
        <v>5</v>
      </c>
      <c r="J241" s="831">
        <v>5</v>
      </c>
      <c r="K241" s="830" t="s">
        <v>4794</v>
      </c>
      <c r="L241" s="830" t="s">
        <v>4794</v>
      </c>
      <c r="M241" s="830" t="s">
        <v>4794</v>
      </c>
      <c r="N241" s="830" t="s">
        <v>4794</v>
      </c>
      <c r="O241" s="830" t="s">
        <v>4794</v>
      </c>
      <c r="P241" s="830" t="s">
        <v>4794</v>
      </c>
      <c r="Q241" s="832">
        <f t="shared" si="3"/>
        <v>10</v>
      </c>
      <c r="R241" s="833" t="s">
        <v>4025</v>
      </c>
      <c r="S241" s="834"/>
      <c r="T241" s="835"/>
      <c r="U241" s="835"/>
      <c r="V241" s="835"/>
      <c r="W241" s="835"/>
      <c r="X241" s="835"/>
      <c r="Y241" s="835"/>
      <c r="Z241" s="835"/>
      <c r="AA241" s="835"/>
      <c r="AB241" s="835"/>
      <c r="AC241" s="835"/>
      <c r="AD241" s="835"/>
      <c r="AE241" s="835"/>
      <c r="AF241" s="835"/>
    </row>
    <row r="242" spans="1:32" ht="63">
      <c r="A242" s="827" t="s">
        <v>1163</v>
      </c>
      <c r="B242" s="828" t="s">
        <v>4022</v>
      </c>
      <c r="C242" s="828" t="s">
        <v>1164</v>
      </c>
      <c r="D242" s="829" t="s">
        <v>1165</v>
      </c>
      <c r="E242" s="831">
        <v>1</v>
      </c>
      <c r="F242" s="831">
        <v>1</v>
      </c>
      <c r="G242" s="831">
        <v>1</v>
      </c>
      <c r="H242" s="830"/>
      <c r="I242" s="830"/>
      <c r="J242" s="831">
        <v>10</v>
      </c>
      <c r="K242" s="830"/>
      <c r="L242" s="830"/>
      <c r="M242" s="830"/>
      <c r="N242" s="831">
        <v>1</v>
      </c>
      <c r="O242" s="831">
        <v>1</v>
      </c>
      <c r="P242" s="831">
        <v>1</v>
      </c>
      <c r="Q242" s="832">
        <f t="shared" si="3"/>
        <v>16</v>
      </c>
      <c r="R242" s="833" t="s">
        <v>4025</v>
      </c>
      <c r="S242" s="834"/>
      <c r="T242" s="835"/>
      <c r="U242" s="835"/>
      <c r="V242" s="835"/>
      <c r="W242" s="835"/>
      <c r="X242" s="835"/>
      <c r="Y242" s="835"/>
      <c r="Z242" s="835"/>
      <c r="AA242" s="835"/>
      <c r="AB242" s="835"/>
      <c r="AC242" s="835"/>
      <c r="AD242" s="835"/>
      <c r="AE242" s="835"/>
      <c r="AF242" s="835"/>
    </row>
    <row r="243" spans="1:32" ht="63">
      <c r="A243" s="827" t="s">
        <v>1166</v>
      </c>
      <c r="B243" s="828" t="s">
        <v>4022</v>
      </c>
      <c r="C243" s="828" t="s">
        <v>1167</v>
      </c>
      <c r="D243" s="829" t="s">
        <v>1168</v>
      </c>
      <c r="E243" s="831">
        <v>4</v>
      </c>
      <c r="F243" s="831">
        <v>4</v>
      </c>
      <c r="G243" s="831">
        <v>4</v>
      </c>
      <c r="H243" s="830"/>
      <c r="I243" s="830"/>
      <c r="J243" s="831">
        <v>10</v>
      </c>
      <c r="K243" s="830"/>
      <c r="L243" s="830"/>
      <c r="M243" s="830"/>
      <c r="N243" s="830"/>
      <c r="O243" s="831">
        <v>4</v>
      </c>
      <c r="P243" s="831">
        <v>6</v>
      </c>
      <c r="Q243" s="832">
        <f t="shared" si="3"/>
        <v>32</v>
      </c>
      <c r="R243" s="833" t="s">
        <v>4025</v>
      </c>
      <c r="S243" s="834"/>
      <c r="T243" s="850"/>
      <c r="U243" s="850"/>
      <c r="V243" s="850"/>
      <c r="W243" s="850"/>
      <c r="X243" s="850"/>
      <c r="Y243" s="850"/>
      <c r="Z243" s="850"/>
      <c r="AA243" s="850"/>
      <c r="AB243" s="850"/>
      <c r="AC243" s="850"/>
      <c r="AD243" s="850"/>
      <c r="AE243" s="850"/>
      <c r="AF243" s="835"/>
    </row>
    <row r="244" spans="1:32" ht="63">
      <c r="A244" s="827" t="s">
        <v>1169</v>
      </c>
      <c r="B244" s="828" t="s">
        <v>4022</v>
      </c>
      <c r="C244" s="828" t="s">
        <v>1170</v>
      </c>
      <c r="D244" s="829" t="s">
        <v>1171</v>
      </c>
      <c r="E244" s="831">
        <v>6</v>
      </c>
      <c r="F244" s="831">
        <v>4</v>
      </c>
      <c r="G244" s="831">
        <v>4</v>
      </c>
      <c r="H244" s="830"/>
      <c r="I244" s="830"/>
      <c r="J244" s="831">
        <v>10</v>
      </c>
      <c r="K244" s="830"/>
      <c r="L244" s="830"/>
      <c r="M244" s="830"/>
      <c r="N244" s="830"/>
      <c r="O244" s="831">
        <v>4</v>
      </c>
      <c r="P244" s="831">
        <v>4</v>
      </c>
      <c r="Q244" s="832">
        <f t="shared" si="3"/>
        <v>32</v>
      </c>
      <c r="R244" s="833" t="s">
        <v>4025</v>
      </c>
      <c r="S244" s="836"/>
      <c r="T244" s="851"/>
      <c r="U244" s="851"/>
      <c r="V244" s="851"/>
      <c r="W244" s="851"/>
      <c r="X244" s="851"/>
      <c r="Y244" s="851"/>
      <c r="Z244" s="851"/>
      <c r="AA244" s="851"/>
      <c r="AB244" s="851"/>
      <c r="AC244" s="851"/>
      <c r="AD244" s="851"/>
      <c r="AE244" s="851"/>
      <c r="AF244" s="835"/>
    </row>
    <row r="245" spans="1:32" ht="52.5">
      <c r="A245" s="827" t="s">
        <v>1172</v>
      </c>
      <c r="B245" s="828" t="s">
        <v>4022</v>
      </c>
      <c r="C245" s="828" t="s">
        <v>1173</v>
      </c>
      <c r="D245" s="829" t="s">
        <v>1174</v>
      </c>
      <c r="E245" s="831">
        <v>4</v>
      </c>
      <c r="F245" s="831">
        <v>4</v>
      </c>
      <c r="G245" s="831">
        <v>4</v>
      </c>
      <c r="H245" s="830"/>
      <c r="I245" s="830"/>
      <c r="J245" s="831">
        <v>10</v>
      </c>
      <c r="K245" s="830"/>
      <c r="L245" s="830"/>
      <c r="M245" s="830"/>
      <c r="N245" s="830"/>
      <c r="O245" s="831">
        <v>4</v>
      </c>
      <c r="P245" s="831">
        <v>6</v>
      </c>
      <c r="Q245" s="832">
        <f t="shared" si="3"/>
        <v>32</v>
      </c>
      <c r="R245" s="833" t="s">
        <v>4025</v>
      </c>
      <c r="S245" s="836"/>
      <c r="T245" s="852"/>
      <c r="U245" s="852"/>
      <c r="V245" s="852"/>
      <c r="W245" s="852"/>
      <c r="X245" s="852"/>
      <c r="Y245" s="852"/>
      <c r="Z245" s="852"/>
      <c r="AA245" s="852"/>
      <c r="AB245" s="852"/>
      <c r="AC245" s="852"/>
      <c r="AD245" s="852"/>
      <c r="AE245" s="852"/>
      <c r="AF245" s="835"/>
    </row>
    <row r="246" spans="1:32" ht="73.5">
      <c r="A246" s="827" t="s">
        <v>1175</v>
      </c>
      <c r="B246" s="828" t="s">
        <v>4022</v>
      </c>
      <c r="C246" s="828" t="s">
        <v>1176</v>
      </c>
      <c r="D246" s="829" t="s">
        <v>1177</v>
      </c>
      <c r="E246" s="831">
        <v>4</v>
      </c>
      <c r="F246" s="831">
        <v>4</v>
      </c>
      <c r="G246" s="831">
        <v>4</v>
      </c>
      <c r="H246" s="830"/>
      <c r="I246" s="830"/>
      <c r="J246" s="831">
        <v>10</v>
      </c>
      <c r="K246" s="830"/>
      <c r="L246" s="830"/>
      <c r="M246" s="830"/>
      <c r="N246" s="830"/>
      <c r="O246" s="831">
        <v>4</v>
      </c>
      <c r="P246" s="831">
        <v>6</v>
      </c>
      <c r="Q246" s="832">
        <f t="shared" si="3"/>
        <v>32</v>
      </c>
      <c r="R246" s="833" t="s">
        <v>4025</v>
      </c>
      <c r="S246" s="836"/>
      <c r="T246" s="852"/>
      <c r="U246" s="852"/>
      <c r="V246" s="852"/>
      <c r="W246" s="852"/>
      <c r="X246" s="852"/>
      <c r="Y246" s="852"/>
      <c r="Z246" s="852"/>
      <c r="AA246" s="852"/>
      <c r="AB246" s="852"/>
      <c r="AC246" s="852"/>
      <c r="AD246" s="852"/>
      <c r="AE246" s="852"/>
      <c r="AF246" s="835"/>
    </row>
    <row r="247" spans="1:32" ht="63">
      <c r="A247" s="827" t="s">
        <v>1178</v>
      </c>
      <c r="B247" s="828" t="s">
        <v>4022</v>
      </c>
      <c r="C247" s="828" t="s">
        <v>1179</v>
      </c>
      <c r="D247" s="829" t="s">
        <v>1180</v>
      </c>
      <c r="E247" s="831">
        <v>4</v>
      </c>
      <c r="F247" s="831">
        <v>4</v>
      </c>
      <c r="G247" s="831">
        <v>4</v>
      </c>
      <c r="H247" s="830"/>
      <c r="I247" s="830"/>
      <c r="J247" s="831">
        <v>10</v>
      </c>
      <c r="K247" s="830"/>
      <c r="L247" s="830"/>
      <c r="M247" s="830"/>
      <c r="N247" s="830"/>
      <c r="O247" s="831">
        <v>4</v>
      </c>
      <c r="P247" s="831">
        <v>4</v>
      </c>
      <c r="Q247" s="832">
        <f t="shared" si="3"/>
        <v>30</v>
      </c>
      <c r="R247" s="833" t="s">
        <v>4025</v>
      </c>
      <c r="S247" s="834"/>
      <c r="T247" s="835"/>
      <c r="U247" s="835"/>
      <c r="V247" s="835"/>
      <c r="W247" s="835"/>
      <c r="X247" s="835"/>
      <c r="Y247" s="835"/>
      <c r="Z247" s="835"/>
      <c r="AA247" s="835"/>
      <c r="AB247" s="835"/>
      <c r="AC247" s="835"/>
      <c r="AD247" s="835"/>
      <c r="AE247" s="835"/>
      <c r="AF247" s="835"/>
    </row>
    <row r="248" spans="1:32" ht="63">
      <c r="A248" s="827" t="s">
        <v>1181</v>
      </c>
      <c r="B248" s="828" t="s">
        <v>4022</v>
      </c>
      <c r="C248" s="828" t="s">
        <v>1182</v>
      </c>
      <c r="D248" s="829" t="s">
        <v>1183</v>
      </c>
      <c r="E248" s="831">
        <v>4</v>
      </c>
      <c r="F248" s="831">
        <v>4</v>
      </c>
      <c r="G248" s="831">
        <v>4</v>
      </c>
      <c r="H248" s="830"/>
      <c r="I248" s="830"/>
      <c r="J248" s="831">
        <v>10</v>
      </c>
      <c r="K248" s="830"/>
      <c r="L248" s="830"/>
      <c r="M248" s="830"/>
      <c r="N248" s="830"/>
      <c r="O248" s="831">
        <v>4</v>
      </c>
      <c r="P248" s="831">
        <v>6</v>
      </c>
      <c r="Q248" s="832">
        <f t="shared" si="3"/>
        <v>32</v>
      </c>
      <c r="R248" s="833" t="s">
        <v>4025</v>
      </c>
      <c r="S248" s="834"/>
      <c r="T248" s="835"/>
      <c r="U248" s="835"/>
      <c r="V248" s="835"/>
      <c r="W248" s="835"/>
      <c r="X248" s="835"/>
      <c r="Y248" s="835"/>
      <c r="Z248" s="835"/>
      <c r="AA248" s="835"/>
      <c r="AB248" s="835"/>
      <c r="AC248" s="835"/>
      <c r="AD248" s="835"/>
      <c r="AE248" s="835"/>
      <c r="AF248" s="835"/>
    </row>
    <row r="249" spans="1:32" ht="52.5">
      <c r="A249" s="827" t="s">
        <v>1184</v>
      </c>
      <c r="B249" s="828" t="s">
        <v>4022</v>
      </c>
      <c r="C249" s="828" t="s">
        <v>1185</v>
      </c>
      <c r="D249" s="829" t="s">
        <v>1186</v>
      </c>
      <c r="E249" s="831">
        <v>6</v>
      </c>
      <c r="F249" s="831">
        <v>4</v>
      </c>
      <c r="G249" s="831">
        <v>4</v>
      </c>
      <c r="H249" s="830"/>
      <c r="I249" s="830"/>
      <c r="J249" s="831">
        <v>10</v>
      </c>
      <c r="K249" s="830"/>
      <c r="L249" s="830"/>
      <c r="M249" s="830"/>
      <c r="N249" s="830"/>
      <c r="O249" s="831">
        <v>4</v>
      </c>
      <c r="P249" s="831">
        <v>4</v>
      </c>
      <c r="Q249" s="832">
        <f t="shared" si="3"/>
        <v>32</v>
      </c>
      <c r="R249" s="833" t="s">
        <v>4025</v>
      </c>
      <c r="S249" s="834"/>
      <c r="T249" s="835"/>
      <c r="U249" s="835"/>
      <c r="V249" s="835"/>
      <c r="W249" s="835"/>
      <c r="X249" s="835"/>
      <c r="Y249" s="835"/>
      <c r="Z249" s="835"/>
      <c r="AA249" s="835"/>
      <c r="AB249" s="835"/>
      <c r="AC249" s="835"/>
      <c r="AD249" s="835"/>
      <c r="AE249" s="835"/>
      <c r="AF249" s="835"/>
    </row>
    <row r="250" spans="1:32" ht="73.5">
      <c r="A250" s="827" t="s">
        <v>1187</v>
      </c>
      <c r="B250" s="828" t="s">
        <v>4022</v>
      </c>
      <c r="C250" s="828">
        <v>3705009</v>
      </c>
      <c r="D250" s="829" t="s">
        <v>1188</v>
      </c>
      <c r="E250" s="830"/>
      <c r="F250" s="830"/>
      <c r="G250" s="831">
        <v>10</v>
      </c>
      <c r="H250" s="830"/>
      <c r="I250" s="831">
        <v>10</v>
      </c>
      <c r="J250" s="830"/>
      <c r="K250" s="830"/>
      <c r="L250" s="831">
        <v>10</v>
      </c>
      <c r="M250" s="830"/>
      <c r="N250" s="830"/>
      <c r="O250" s="830"/>
      <c r="P250" s="830"/>
      <c r="Q250" s="832">
        <f>SUM(E250:P250)</f>
        <v>30</v>
      </c>
      <c r="R250" s="833" t="s">
        <v>4025</v>
      </c>
      <c r="S250" s="834"/>
      <c r="T250" s="835"/>
      <c r="U250" s="835"/>
      <c r="V250" s="835"/>
      <c r="W250" s="835"/>
      <c r="X250" s="835"/>
      <c r="Y250" s="835"/>
      <c r="Z250" s="835"/>
      <c r="AA250" s="835"/>
      <c r="AB250" s="835"/>
      <c r="AC250" s="835"/>
      <c r="AD250" s="835"/>
      <c r="AE250" s="835"/>
      <c r="AF250" s="835"/>
    </row>
    <row r="251" spans="1:32" ht="42">
      <c r="A251" s="827" t="s">
        <v>1189</v>
      </c>
      <c r="B251" s="828" t="s">
        <v>4022</v>
      </c>
      <c r="C251" s="828" t="s">
        <v>1190</v>
      </c>
      <c r="D251" s="829" t="s">
        <v>1191</v>
      </c>
      <c r="E251" s="830" t="s">
        <v>4794</v>
      </c>
      <c r="F251" s="830" t="s">
        <v>4794</v>
      </c>
      <c r="G251" s="830"/>
      <c r="H251" s="831">
        <v>5</v>
      </c>
      <c r="I251" s="830"/>
      <c r="J251" s="830"/>
      <c r="K251" s="830"/>
      <c r="L251" s="830"/>
      <c r="M251" s="830"/>
      <c r="N251" s="830"/>
      <c r="O251" s="831">
        <v>3</v>
      </c>
      <c r="P251" s="831">
        <v>2</v>
      </c>
      <c r="Q251" s="832">
        <f t="shared" si="3"/>
        <v>10</v>
      </c>
      <c r="R251" s="833" t="s">
        <v>4025</v>
      </c>
      <c r="S251" s="834"/>
      <c r="T251" s="835"/>
      <c r="U251" s="835"/>
      <c r="V251" s="835"/>
      <c r="W251" s="835"/>
      <c r="X251" s="835"/>
      <c r="Y251" s="835"/>
      <c r="Z251" s="835"/>
      <c r="AA251" s="835"/>
      <c r="AB251" s="835"/>
      <c r="AC251" s="835"/>
      <c r="AD251" s="835"/>
      <c r="AE251" s="835"/>
      <c r="AF251" s="835"/>
    </row>
    <row r="252" spans="1:32" ht="42">
      <c r="A252" s="827" t="s">
        <v>1192</v>
      </c>
      <c r="B252" s="828" t="s">
        <v>4022</v>
      </c>
      <c r="C252" s="828" t="s">
        <v>1193</v>
      </c>
      <c r="D252" s="829" t="s">
        <v>1194</v>
      </c>
      <c r="E252" s="830" t="s">
        <v>4794</v>
      </c>
      <c r="F252" s="830" t="s">
        <v>4794</v>
      </c>
      <c r="G252" s="831">
        <v>5</v>
      </c>
      <c r="H252" s="831">
        <v>5</v>
      </c>
      <c r="I252" s="830"/>
      <c r="J252" s="830"/>
      <c r="K252" s="830"/>
      <c r="L252" s="830"/>
      <c r="M252" s="830"/>
      <c r="N252" s="831">
        <v>5</v>
      </c>
      <c r="O252" s="831">
        <v>5</v>
      </c>
      <c r="P252" s="830"/>
      <c r="Q252" s="832">
        <f t="shared" si="3"/>
        <v>20</v>
      </c>
      <c r="R252" s="833" t="s">
        <v>4025</v>
      </c>
      <c r="S252" s="834"/>
      <c r="T252" s="835"/>
      <c r="U252" s="835"/>
      <c r="V252" s="835"/>
      <c r="W252" s="835"/>
      <c r="X252" s="835"/>
      <c r="Y252" s="835"/>
      <c r="Z252" s="835"/>
      <c r="AA252" s="835"/>
      <c r="AB252" s="835"/>
      <c r="AC252" s="835"/>
      <c r="AD252" s="835"/>
      <c r="AE252" s="835"/>
      <c r="AF252" s="835"/>
    </row>
    <row r="253" spans="1:32" ht="21">
      <c r="A253" s="827" t="s">
        <v>1195</v>
      </c>
      <c r="B253" s="828" t="s">
        <v>4022</v>
      </c>
      <c r="C253" s="828" t="s">
        <v>1196</v>
      </c>
      <c r="D253" s="829" t="s">
        <v>1197</v>
      </c>
      <c r="E253" s="830" t="s">
        <v>4794</v>
      </c>
      <c r="F253" s="830" t="s">
        <v>4794</v>
      </c>
      <c r="G253" s="830"/>
      <c r="H253" s="830" t="s">
        <v>4794</v>
      </c>
      <c r="I253" s="831">
        <v>5</v>
      </c>
      <c r="J253" s="831">
        <v>5</v>
      </c>
      <c r="K253" s="830" t="s">
        <v>4794</v>
      </c>
      <c r="L253" s="830" t="s">
        <v>4794</v>
      </c>
      <c r="M253" s="830" t="s">
        <v>4794</v>
      </c>
      <c r="N253" s="830" t="s">
        <v>4794</v>
      </c>
      <c r="O253" s="830" t="s">
        <v>4794</v>
      </c>
      <c r="P253" s="830" t="s">
        <v>4794</v>
      </c>
      <c r="Q253" s="832">
        <f t="shared" si="3"/>
        <v>10</v>
      </c>
      <c r="R253" s="833" t="s">
        <v>4025</v>
      </c>
      <c r="S253" s="834"/>
      <c r="T253" s="835"/>
      <c r="U253" s="835"/>
      <c r="V253" s="835"/>
      <c r="W253" s="835"/>
      <c r="X253" s="835"/>
      <c r="Y253" s="835"/>
      <c r="Z253" s="835"/>
      <c r="AA253" s="835"/>
      <c r="AB253" s="835"/>
      <c r="AC253" s="835"/>
      <c r="AD253" s="835"/>
      <c r="AE253" s="835"/>
      <c r="AF253" s="835"/>
    </row>
    <row r="254" spans="1:32" ht="21">
      <c r="A254" s="827" t="s">
        <v>1198</v>
      </c>
      <c r="B254" s="828" t="s">
        <v>4022</v>
      </c>
      <c r="C254" s="828" t="s">
        <v>1199</v>
      </c>
      <c r="D254" s="829" t="s">
        <v>1200</v>
      </c>
      <c r="E254" s="830" t="s">
        <v>4794</v>
      </c>
      <c r="F254" s="830" t="s">
        <v>4794</v>
      </c>
      <c r="G254" s="830"/>
      <c r="H254" s="830" t="s">
        <v>4794</v>
      </c>
      <c r="I254" s="831">
        <v>5</v>
      </c>
      <c r="J254" s="831">
        <v>5</v>
      </c>
      <c r="K254" s="830" t="s">
        <v>4794</v>
      </c>
      <c r="L254" s="830" t="s">
        <v>4794</v>
      </c>
      <c r="M254" s="830" t="s">
        <v>4794</v>
      </c>
      <c r="N254" s="830" t="s">
        <v>4794</v>
      </c>
      <c r="O254" s="830" t="s">
        <v>4794</v>
      </c>
      <c r="P254" s="830" t="s">
        <v>4794</v>
      </c>
      <c r="Q254" s="832">
        <f t="shared" si="3"/>
        <v>10</v>
      </c>
      <c r="R254" s="833" t="s">
        <v>4025</v>
      </c>
      <c r="S254" s="834"/>
      <c r="T254" s="835"/>
      <c r="U254" s="835"/>
      <c r="V254" s="835"/>
      <c r="W254" s="835"/>
      <c r="X254" s="835"/>
      <c r="Y254" s="835"/>
      <c r="Z254" s="835"/>
      <c r="AA254" s="835"/>
      <c r="AB254" s="835"/>
      <c r="AC254" s="835"/>
      <c r="AD254" s="835"/>
      <c r="AE254" s="835"/>
      <c r="AF254" s="835"/>
    </row>
    <row r="255" spans="1:32" ht="21">
      <c r="A255" s="827" t="s">
        <v>1201</v>
      </c>
      <c r="B255" s="828" t="s">
        <v>4022</v>
      </c>
      <c r="C255" s="828" t="s">
        <v>1202</v>
      </c>
      <c r="D255" s="829" t="s">
        <v>1203</v>
      </c>
      <c r="E255" s="830" t="s">
        <v>4794</v>
      </c>
      <c r="F255" s="830" t="s">
        <v>4794</v>
      </c>
      <c r="G255" s="830"/>
      <c r="H255" s="830" t="s">
        <v>4794</v>
      </c>
      <c r="I255" s="831">
        <v>5</v>
      </c>
      <c r="J255" s="831">
        <v>5</v>
      </c>
      <c r="K255" s="830" t="s">
        <v>4794</v>
      </c>
      <c r="L255" s="830" t="s">
        <v>4794</v>
      </c>
      <c r="M255" s="830" t="s">
        <v>4794</v>
      </c>
      <c r="N255" s="830" t="s">
        <v>4794</v>
      </c>
      <c r="O255" s="830" t="s">
        <v>4794</v>
      </c>
      <c r="P255" s="830" t="s">
        <v>4794</v>
      </c>
      <c r="Q255" s="832">
        <f t="shared" si="3"/>
        <v>10</v>
      </c>
      <c r="R255" s="833" t="s">
        <v>4025</v>
      </c>
      <c r="S255" s="834"/>
      <c r="T255" s="835"/>
      <c r="U255" s="835"/>
      <c r="V255" s="835"/>
      <c r="W255" s="835"/>
      <c r="X255" s="835"/>
      <c r="Y255" s="835"/>
      <c r="Z255" s="835"/>
      <c r="AA255" s="835"/>
      <c r="AB255" s="835"/>
      <c r="AC255" s="835"/>
      <c r="AD255" s="835"/>
      <c r="AE255" s="835"/>
      <c r="AF255" s="835"/>
    </row>
    <row r="256" spans="1:32" ht="21">
      <c r="A256" s="827" t="s">
        <v>1204</v>
      </c>
      <c r="B256" s="828" t="s">
        <v>4022</v>
      </c>
      <c r="C256" s="828" t="s">
        <v>1205</v>
      </c>
      <c r="D256" s="829" t="s">
        <v>1206</v>
      </c>
      <c r="E256" s="830" t="s">
        <v>4794</v>
      </c>
      <c r="F256" s="830" t="s">
        <v>4794</v>
      </c>
      <c r="G256" s="830"/>
      <c r="H256" s="830" t="s">
        <v>4794</v>
      </c>
      <c r="I256" s="831">
        <v>5</v>
      </c>
      <c r="J256" s="831">
        <v>5</v>
      </c>
      <c r="K256" s="830" t="s">
        <v>4794</v>
      </c>
      <c r="L256" s="830" t="s">
        <v>4794</v>
      </c>
      <c r="M256" s="830" t="s">
        <v>4794</v>
      </c>
      <c r="N256" s="830" t="s">
        <v>4794</v>
      </c>
      <c r="O256" s="830" t="s">
        <v>4794</v>
      </c>
      <c r="P256" s="830" t="s">
        <v>4794</v>
      </c>
      <c r="Q256" s="832">
        <f t="shared" si="3"/>
        <v>10</v>
      </c>
      <c r="R256" s="833" t="s">
        <v>4025</v>
      </c>
      <c r="S256" s="834"/>
      <c r="T256" s="835"/>
      <c r="U256" s="835"/>
      <c r="V256" s="835"/>
      <c r="W256" s="835"/>
      <c r="X256" s="835"/>
      <c r="Y256" s="835"/>
      <c r="Z256" s="835"/>
      <c r="AA256" s="835"/>
      <c r="AB256" s="835"/>
      <c r="AC256" s="835"/>
      <c r="AD256" s="835"/>
      <c r="AE256" s="835"/>
      <c r="AF256" s="835"/>
    </row>
    <row r="257" spans="1:32" ht="21">
      <c r="A257" s="827" t="s">
        <v>1207</v>
      </c>
      <c r="B257" s="828" t="s">
        <v>4022</v>
      </c>
      <c r="C257" s="828" t="s">
        <v>1208</v>
      </c>
      <c r="D257" s="829" t="s">
        <v>1209</v>
      </c>
      <c r="E257" s="830" t="s">
        <v>4794</v>
      </c>
      <c r="F257" s="830" t="s">
        <v>4794</v>
      </c>
      <c r="G257" s="830"/>
      <c r="H257" s="830" t="s">
        <v>4794</v>
      </c>
      <c r="I257" s="831">
        <v>5</v>
      </c>
      <c r="J257" s="831">
        <v>5</v>
      </c>
      <c r="K257" s="830" t="s">
        <v>4794</v>
      </c>
      <c r="L257" s="830" t="s">
        <v>4794</v>
      </c>
      <c r="M257" s="830" t="s">
        <v>4794</v>
      </c>
      <c r="N257" s="830" t="s">
        <v>4794</v>
      </c>
      <c r="O257" s="830" t="s">
        <v>4794</v>
      </c>
      <c r="P257" s="830" t="s">
        <v>4794</v>
      </c>
      <c r="Q257" s="832">
        <f t="shared" si="3"/>
        <v>10</v>
      </c>
      <c r="R257" s="833" t="s">
        <v>4025</v>
      </c>
      <c r="S257" s="834"/>
      <c r="T257" s="835"/>
      <c r="U257" s="835"/>
      <c r="V257" s="835"/>
      <c r="W257" s="835"/>
      <c r="X257" s="835"/>
      <c r="Y257" s="835"/>
      <c r="Z257" s="835"/>
      <c r="AA257" s="835"/>
      <c r="AB257" s="835"/>
      <c r="AC257" s="835"/>
      <c r="AD257" s="835"/>
      <c r="AE257" s="835"/>
      <c r="AF257" s="835"/>
    </row>
    <row r="258" spans="1:32" ht="21">
      <c r="A258" s="827" t="s">
        <v>1210</v>
      </c>
      <c r="B258" s="828" t="s">
        <v>4022</v>
      </c>
      <c r="C258" s="828" t="s">
        <v>1211</v>
      </c>
      <c r="D258" s="829" t="s">
        <v>1212</v>
      </c>
      <c r="E258" s="830" t="s">
        <v>4794</v>
      </c>
      <c r="F258" s="831">
        <v>50</v>
      </c>
      <c r="G258" s="830" t="s">
        <v>4794</v>
      </c>
      <c r="H258" s="830" t="s">
        <v>4794</v>
      </c>
      <c r="I258" s="831"/>
      <c r="J258" s="831">
        <v>100</v>
      </c>
      <c r="K258" s="830" t="s">
        <v>4794</v>
      </c>
      <c r="L258" s="830"/>
      <c r="M258" s="830" t="s">
        <v>4794</v>
      </c>
      <c r="N258" s="831">
        <v>60</v>
      </c>
      <c r="O258" s="830" t="s">
        <v>4794</v>
      </c>
      <c r="P258" s="830" t="s">
        <v>4794</v>
      </c>
      <c r="Q258" s="832">
        <f t="shared" si="3"/>
        <v>210</v>
      </c>
      <c r="R258" s="833" t="s">
        <v>4025</v>
      </c>
      <c r="S258" s="834"/>
      <c r="T258" s="835"/>
      <c r="U258" s="835"/>
      <c r="V258" s="835"/>
      <c r="W258" s="835"/>
      <c r="X258" s="835"/>
      <c r="Y258" s="835"/>
      <c r="Z258" s="835"/>
      <c r="AA258" s="835"/>
      <c r="AB258" s="835"/>
      <c r="AC258" s="835"/>
      <c r="AD258" s="835"/>
      <c r="AE258" s="835"/>
      <c r="AF258" s="835"/>
    </row>
    <row r="259" spans="1:32" ht="21">
      <c r="A259" s="827" t="s">
        <v>1213</v>
      </c>
      <c r="B259" s="828" t="s">
        <v>4022</v>
      </c>
      <c r="C259" s="828" t="s">
        <v>1214</v>
      </c>
      <c r="D259" s="829" t="s">
        <v>1215</v>
      </c>
      <c r="E259" s="830" t="s">
        <v>4794</v>
      </c>
      <c r="F259" s="830"/>
      <c r="G259" s="830" t="s">
        <v>4794</v>
      </c>
      <c r="H259" s="830" t="s">
        <v>4794</v>
      </c>
      <c r="I259" s="831">
        <v>20</v>
      </c>
      <c r="J259" s="831">
        <v>20</v>
      </c>
      <c r="K259" s="831">
        <v>20</v>
      </c>
      <c r="L259" s="831">
        <v>20</v>
      </c>
      <c r="M259" s="830" t="s">
        <v>4794</v>
      </c>
      <c r="N259" s="830" t="s">
        <v>4794</v>
      </c>
      <c r="O259" s="830"/>
      <c r="P259" s="830" t="s">
        <v>4794</v>
      </c>
      <c r="Q259" s="832">
        <f t="shared" si="3"/>
        <v>80</v>
      </c>
      <c r="R259" s="833" t="s">
        <v>4025</v>
      </c>
      <c r="S259" s="834"/>
      <c r="T259" s="835"/>
      <c r="U259" s="835"/>
      <c r="V259" s="835"/>
      <c r="W259" s="835"/>
      <c r="X259" s="835"/>
      <c r="Y259" s="835"/>
      <c r="Z259" s="835"/>
      <c r="AA259" s="835"/>
      <c r="AB259" s="835"/>
      <c r="AC259" s="835"/>
      <c r="AD259" s="835"/>
      <c r="AE259" s="835"/>
      <c r="AF259" s="835"/>
    </row>
    <row r="260" spans="1:32" ht="42">
      <c r="A260" s="827" t="s">
        <v>1216</v>
      </c>
      <c r="B260" s="828" t="s">
        <v>4022</v>
      </c>
      <c r="C260" s="828" t="s">
        <v>1217</v>
      </c>
      <c r="D260" s="829" t="s">
        <v>1218</v>
      </c>
      <c r="E260" s="830" t="s">
        <v>4794</v>
      </c>
      <c r="F260" s="830" t="s">
        <v>4794</v>
      </c>
      <c r="G260" s="830" t="s">
        <v>4794</v>
      </c>
      <c r="H260" s="831">
        <v>100</v>
      </c>
      <c r="I260" s="830" t="s">
        <v>4794</v>
      </c>
      <c r="J260" s="831">
        <v>100</v>
      </c>
      <c r="K260" s="830" t="s">
        <v>4794</v>
      </c>
      <c r="L260" s="831">
        <v>100</v>
      </c>
      <c r="M260" s="830" t="s">
        <v>4794</v>
      </c>
      <c r="N260" s="830" t="s">
        <v>4794</v>
      </c>
      <c r="O260" s="830" t="s">
        <v>4794</v>
      </c>
      <c r="P260" s="830" t="s">
        <v>4794</v>
      </c>
      <c r="Q260" s="832">
        <f t="shared" si="3"/>
        <v>300</v>
      </c>
      <c r="R260" s="833" t="s">
        <v>4025</v>
      </c>
      <c r="S260" s="834"/>
      <c r="T260" s="835"/>
      <c r="U260" s="835"/>
      <c r="V260" s="835"/>
      <c r="W260" s="835"/>
      <c r="X260" s="835"/>
      <c r="Y260" s="835"/>
      <c r="Z260" s="835"/>
      <c r="AA260" s="835"/>
      <c r="AB260" s="835"/>
      <c r="AC260" s="835"/>
      <c r="AD260" s="835"/>
      <c r="AE260" s="835"/>
      <c r="AF260" s="835"/>
    </row>
    <row r="261" spans="1:32" ht="42">
      <c r="A261" s="827" t="s">
        <v>1219</v>
      </c>
      <c r="B261" s="828" t="s">
        <v>4022</v>
      </c>
      <c r="C261" s="828" t="s">
        <v>1220</v>
      </c>
      <c r="D261" s="829" t="s">
        <v>1221</v>
      </c>
      <c r="E261" s="830" t="s">
        <v>4794</v>
      </c>
      <c r="F261" s="830" t="s">
        <v>4794</v>
      </c>
      <c r="G261" s="830" t="s">
        <v>4794</v>
      </c>
      <c r="H261" s="831">
        <v>100</v>
      </c>
      <c r="I261" s="830" t="s">
        <v>4794</v>
      </c>
      <c r="J261" s="831">
        <v>100</v>
      </c>
      <c r="K261" s="830" t="s">
        <v>4794</v>
      </c>
      <c r="L261" s="831">
        <v>100</v>
      </c>
      <c r="M261" s="830" t="s">
        <v>4794</v>
      </c>
      <c r="N261" s="830" t="s">
        <v>4794</v>
      </c>
      <c r="O261" s="830" t="s">
        <v>4794</v>
      </c>
      <c r="P261" s="830" t="s">
        <v>4794</v>
      </c>
      <c r="Q261" s="832">
        <f t="shared" si="3"/>
        <v>300</v>
      </c>
      <c r="R261" s="833" t="s">
        <v>4025</v>
      </c>
      <c r="S261" s="834"/>
      <c r="T261" s="835"/>
      <c r="U261" s="835"/>
      <c r="V261" s="835"/>
      <c r="W261" s="835"/>
      <c r="X261" s="835"/>
      <c r="Y261" s="835"/>
      <c r="Z261" s="835"/>
      <c r="AA261" s="835"/>
      <c r="AB261" s="835"/>
      <c r="AC261" s="835"/>
      <c r="AD261" s="835"/>
      <c r="AE261" s="835"/>
      <c r="AF261" s="835"/>
    </row>
    <row r="262" spans="1:32" ht="21">
      <c r="A262" s="827" t="s">
        <v>1222</v>
      </c>
      <c r="B262" s="828" t="s">
        <v>4022</v>
      </c>
      <c r="C262" s="828" t="s">
        <v>1223</v>
      </c>
      <c r="D262" s="829" t="s">
        <v>1224</v>
      </c>
      <c r="E262" s="830" t="s">
        <v>4794</v>
      </c>
      <c r="F262" s="830" t="s">
        <v>4794</v>
      </c>
      <c r="G262" s="830" t="s">
        <v>4794</v>
      </c>
      <c r="H262" s="830" t="s">
        <v>4794</v>
      </c>
      <c r="I262" s="830" t="s">
        <v>4794</v>
      </c>
      <c r="J262" s="831">
        <v>10</v>
      </c>
      <c r="K262" s="830" t="s">
        <v>4794</v>
      </c>
      <c r="L262" s="830" t="s">
        <v>4794</v>
      </c>
      <c r="M262" s="830" t="s">
        <v>4794</v>
      </c>
      <c r="N262" s="831">
        <v>10</v>
      </c>
      <c r="O262" s="830" t="s">
        <v>4794</v>
      </c>
      <c r="P262" s="830" t="s">
        <v>4794</v>
      </c>
      <c r="Q262" s="832">
        <f t="shared" si="3"/>
        <v>20</v>
      </c>
      <c r="R262" s="833" t="s">
        <v>4025</v>
      </c>
      <c r="S262" s="836"/>
      <c r="T262" s="852"/>
      <c r="U262" s="852"/>
      <c r="V262" s="852"/>
      <c r="W262" s="852"/>
      <c r="X262" s="852"/>
      <c r="Y262" s="852"/>
      <c r="Z262" s="852"/>
      <c r="AA262" s="852"/>
      <c r="AB262" s="852"/>
      <c r="AC262" s="852"/>
      <c r="AD262" s="852"/>
      <c r="AE262" s="852"/>
      <c r="AF262" s="835"/>
    </row>
    <row r="263" spans="1:32" ht="21">
      <c r="A263" s="827" t="s">
        <v>1225</v>
      </c>
      <c r="B263" s="828" t="s">
        <v>4022</v>
      </c>
      <c r="C263" s="828" t="s">
        <v>1226</v>
      </c>
      <c r="D263" s="829" t="s">
        <v>1227</v>
      </c>
      <c r="E263" s="830" t="s">
        <v>4794</v>
      </c>
      <c r="F263" s="830" t="s">
        <v>4794</v>
      </c>
      <c r="G263" s="830" t="s">
        <v>4794</v>
      </c>
      <c r="H263" s="830" t="s">
        <v>4794</v>
      </c>
      <c r="I263" s="831">
        <v>5</v>
      </c>
      <c r="J263" s="830" t="s">
        <v>4794</v>
      </c>
      <c r="K263" s="830"/>
      <c r="L263" s="831">
        <v>5</v>
      </c>
      <c r="M263" s="830" t="s">
        <v>4794</v>
      </c>
      <c r="N263" s="830" t="s">
        <v>4794</v>
      </c>
      <c r="O263" s="830" t="s">
        <v>4794</v>
      </c>
      <c r="P263" s="830" t="s">
        <v>4794</v>
      </c>
      <c r="Q263" s="832">
        <f t="shared" si="3"/>
        <v>10</v>
      </c>
      <c r="R263" s="833" t="s">
        <v>4025</v>
      </c>
      <c r="S263" s="834"/>
      <c r="T263" s="835"/>
      <c r="U263" s="835"/>
      <c r="V263" s="835"/>
      <c r="W263" s="835"/>
      <c r="X263" s="835"/>
      <c r="Y263" s="835"/>
      <c r="Z263" s="835"/>
      <c r="AA263" s="835"/>
      <c r="AB263" s="835"/>
      <c r="AC263" s="835"/>
      <c r="AD263" s="835"/>
      <c r="AE263" s="835"/>
      <c r="AF263" s="835"/>
    </row>
    <row r="264" spans="1:32" ht="21">
      <c r="A264" s="827" t="s">
        <v>1228</v>
      </c>
      <c r="B264" s="828" t="s">
        <v>4022</v>
      </c>
      <c r="C264" s="828" t="s">
        <v>1229</v>
      </c>
      <c r="D264" s="829" t="s">
        <v>1230</v>
      </c>
      <c r="E264" s="830" t="s">
        <v>4794</v>
      </c>
      <c r="F264" s="830" t="s">
        <v>4794</v>
      </c>
      <c r="G264" s="830" t="s">
        <v>4794</v>
      </c>
      <c r="H264" s="830"/>
      <c r="I264" s="830" t="s">
        <v>4794</v>
      </c>
      <c r="J264" s="831">
        <v>5</v>
      </c>
      <c r="K264" s="830" t="s">
        <v>4794</v>
      </c>
      <c r="L264" s="831">
        <v>5</v>
      </c>
      <c r="M264" s="830" t="s">
        <v>4794</v>
      </c>
      <c r="N264" s="830" t="s">
        <v>4794</v>
      </c>
      <c r="O264" s="830" t="s">
        <v>4794</v>
      </c>
      <c r="P264" s="830" t="s">
        <v>4794</v>
      </c>
      <c r="Q264" s="832">
        <f t="shared" si="3"/>
        <v>10</v>
      </c>
      <c r="R264" s="833" t="s">
        <v>4025</v>
      </c>
      <c r="S264" s="836"/>
      <c r="T264" s="852"/>
      <c r="U264" s="852"/>
      <c r="V264" s="852"/>
      <c r="W264" s="852"/>
      <c r="X264" s="852"/>
      <c r="Y264" s="852"/>
      <c r="Z264" s="852"/>
      <c r="AA264" s="852"/>
      <c r="AB264" s="852"/>
      <c r="AC264" s="852"/>
      <c r="AD264" s="852"/>
      <c r="AE264" s="852"/>
      <c r="AF264" s="835"/>
    </row>
    <row r="265" spans="1:32" ht="21">
      <c r="A265" s="827" t="s">
        <v>1231</v>
      </c>
      <c r="B265" s="828" t="s">
        <v>4022</v>
      </c>
      <c r="C265" s="828" t="s">
        <v>1232</v>
      </c>
      <c r="D265" s="829" t="s">
        <v>1233</v>
      </c>
      <c r="E265" s="830" t="s">
        <v>4794</v>
      </c>
      <c r="F265" s="830" t="s">
        <v>4794</v>
      </c>
      <c r="G265" s="830" t="s">
        <v>4794</v>
      </c>
      <c r="H265" s="830" t="s">
        <v>4794</v>
      </c>
      <c r="I265" s="831">
        <v>5</v>
      </c>
      <c r="J265" s="830" t="s">
        <v>4794</v>
      </c>
      <c r="K265" s="830"/>
      <c r="L265" s="831">
        <v>5</v>
      </c>
      <c r="M265" s="830" t="s">
        <v>4794</v>
      </c>
      <c r="N265" s="830" t="s">
        <v>4794</v>
      </c>
      <c r="O265" s="830" t="s">
        <v>4794</v>
      </c>
      <c r="P265" s="830" t="s">
        <v>4794</v>
      </c>
      <c r="Q265" s="832">
        <f t="shared" si="3"/>
        <v>10</v>
      </c>
      <c r="R265" s="833" t="s">
        <v>4025</v>
      </c>
      <c r="S265" s="834"/>
      <c r="T265" s="835"/>
      <c r="U265" s="835"/>
      <c r="V265" s="835"/>
      <c r="W265" s="835"/>
      <c r="X265" s="835"/>
      <c r="Y265" s="835"/>
      <c r="Z265" s="835"/>
      <c r="AA265" s="835"/>
      <c r="AB265" s="835"/>
      <c r="AC265" s="835"/>
      <c r="AD265" s="835"/>
      <c r="AE265" s="835"/>
      <c r="AF265" s="835"/>
    </row>
    <row r="266" spans="1:32" ht="21">
      <c r="A266" s="827" t="s">
        <v>1234</v>
      </c>
      <c r="B266" s="828" t="s">
        <v>4022</v>
      </c>
      <c r="C266" s="828" t="s">
        <v>1235</v>
      </c>
      <c r="D266" s="829" t="s">
        <v>1236</v>
      </c>
      <c r="E266" s="830" t="s">
        <v>4794</v>
      </c>
      <c r="F266" s="830" t="s">
        <v>4794</v>
      </c>
      <c r="G266" s="830" t="s">
        <v>4794</v>
      </c>
      <c r="H266" s="830" t="s">
        <v>4794</v>
      </c>
      <c r="I266" s="831">
        <v>5</v>
      </c>
      <c r="J266" s="830" t="s">
        <v>4794</v>
      </c>
      <c r="K266" s="830" t="s">
        <v>4794</v>
      </c>
      <c r="L266" s="831">
        <v>5</v>
      </c>
      <c r="M266" s="830" t="s">
        <v>4794</v>
      </c>
      <c r="N266" s="830" t="s">
        <v>4794</v>
      </c>
      <c r="O266" s="830" t="s">
        <v>4794</v>
      </c>
      <c r="P266" s="830" t="s">
        <v>4794</v>
      </c>
      <c r="Q266" s="832">
        <f t="shared" si="3"/>
        <v>10</v>
      </c>
      <c r="R266" s="833" t="s">
        <v>4025</v>
      </c>
      <c r="S266" s="834"/>
      <c r="T266" s="835"/>
      <c r="U266" s="835"/>
      <c r="V266" s="835"/>
      <c r="W266" s="835"/>
      <c r="X266" s="835"/>
      <c r="Y266" s="835"/>
      <c r="Z266" s="835"/>
      <c r="AA266" s="835"/>
      <c r="AB266" s="835"/>
      <c r="AC266" s="835"/>
      <c r="AD266" s="835"/>
      <c r="AE266" s="835"/>
      <c r="AF266" s="835"/>
    </row>
    <row r="267" spans="1:32" ht="21">
      <c r="A267" s="827" t="s">
        <v>1237</v>
      </c>
      <c r="B267" s="828" t="s">
        <v>4022</v>
      </c>
      <c r="C267" s="828" t="s">
        <v>1238</v>
      </c>
      <c r="D267" s="829" t="s">
        <v>1239</v>
      </c>
      <c r="E267" s="830" t="s">
        <v>4794</v>
      </c>
      <c r="F267" s="830" t="s">
        <v>4794</v>
      </c>
      <c r="G267" s="830" t="s">
        <v>4794</v>
      </c>
      <c r="H267" s="830" t="s">
        <v>4794</v>
      </c>
      <c r="I267" s="831">
        <v>5</v>
      </c>
      <c r="J267" s="830" t="s">
        <v>4794</v>
      </c>
      <c r="K267" s="830"/>
      <c r="L267" s="831">
        <v>5</v>
      </c>
      <c r="M267" s="830" t="s">
        <v>4794</v>
      </c>
      <c r="N267" s="830" t="s">
        <v>4794</v>
      </c>
      <c r="O267" s="830" t="s">
        <v>4794</v>
      </c>
      <c r="P267" s="830" t="s">
        <v>4794</v>
      </c>
      <c r="Q267" s="832">
        <f t="shared" si="3"/>
        <v>10</v>
      </c>
      <c r="R267" s="833" t="s">
        <v>4025</v>
      </c>
      <c r="S267" s="834"/>
      <c r="T267" s="835"/>
      <c r="U267" s="835"/>
      <c r="V267" s="835"/>
      <c r="W267" s="835"/>
      <c r="X267" s="835"/>
      <c r="Y267" s="835"/>
      <c r="Z267" s="835"/>
      <c r="AA267" s="835"/>
      <c r="AB267" s="835"/>
      <c r="AC267" s="835"/>
      <c r="AD267" s="835"/>
      <c r="AE267" s="835"/>
      <c r="AF267" s="835"/>
    </row>
    <row r="268" spans="1:32" ht="21">
      <c r="A268" s="827" t="s">
        <v>1240</v>
      </c>
      <c r="B268" s="828" t="s">
        <v>4022</v>
      </c>
      <c r="C268" s="828" t="s">
        <v>1241</v>
      </c>
      <c r="D268" s="829" t="s">
        <v>1242</v>
      </c>
      <c r="E268" s="830" t="s">
        <v>4794</v>
      </c>
      <c r="F268" s="830" t="s">
        <v>4794</v>
      </c>
      <c r="G268" s="830" t="s">
        <v>4794</v>
      </c>
      <c r="H268" s="830" t="s">
        <v>4794</v>
      </c>
      <c r="I268" s="831">
        <v>5</v>
      </c>
      <c r="J268" s="830" t="s">
        <v>4794</v>
      </c>
      <c r="K268" s="830"/>
      <c r="L268" s="831">
        <v>5</v>
      </c>
      <c r="M268" s="830" t="s">
        <v>4794</v>
      </c>
      <c r="N268" s="830" t="s">
        <v>4794</v>
      </c>
      <c r="O268" s="830" t="s">
        <v>4794</v>
      </c>
      <c r="P268" s="830" t="s">
        <v>4794</v>
      </c>
      <c r="Q268" s="832">
        <f t="shared" si="3"/>
        <v>10</v>
      </c>
      <c r="R268" s="833" t="s">
        <v>4025</v>
      </c>
      <c r="S268" s="834"/>
      <c r="T268" s="835"/>
      <c r="U268" s="835"/>
      <c r="V268" s="835"/>
      <c r="W268" s="835"/>
      <c r="X268" s="835"/>
      <c r="Y268" s="835"/>
      <c r="Z268" s="835"/>
      <c r="AA268" s="835"/>
      <c r="AB268" s="835"/>
      <c r="AC268" s="835"/>
      <c r="AD268" s="835"/>
      <c r="AE268" s="835"/>
      <c r="AF268" s="835"/>
    </row>
    <row r="269" spans="1:32" ht="21">
      <c r="A269" s="827" t="s">
        <v>1243</v>
      </c>
      <c r="B269" s="828" t="s">
        <v>4022</v>
      </c>
      <c r="C269" s="828" t="s">
        <v>1244</v>
      </c>
      <c r="D269" s="829" t="s">
        <v>1245</v>
      </c>
      <c r="E269" s="830" t="s">
        <v>4794</v>
      </c>
      <c r="F269" s="830" t="s">
        <v>4794</v>
      </c>
      <c r="G269" s="830" t="s">
        <v>4794</v>
      </c>
      <c r="H269" s="830" t="s">
        <v>4794</v>
      </c>
      <c r="I269" s="831">
        <v>10</v>
      </c>
      <c r="J269" s="830" t="s">
        <v>4794</v>
      </c>
      <c r="K269" s="830"/>
      <c r="L269" s="830" t="s">
        <v>4794</v>
      </c>
      <c r="M269" s="830" t="s">
        <v>4794</v>
      </c>
      <c r="N269" s="830" t="s">
        <v>4794</v>
      </c>
      <c r="O269" s="830" t="s">
        <v>4794</v>
      </c>
      <c r="P269" s="830" t="s">
        <v>4794</v>
      </c>
      <c r="Q269" s="832">
        <f t="shared" si="3"/>
        <v>10</v>
      </c>
      <c r="R269" s="833" t="s">
        <v>4025</v>
      </c>
      <c r="S269" s="834"/>
      <c r="T269" s="835"/>
      <c r="U269" s="835"/>
      <c r="V269" s="835"/>
      <c r="W269" s="835"/>
      <c r="X269" s="835"/>
      <c r="Y269" s="835"/>
      <c r="Z269" s="835"/>
      <c r="AA269" s="835"/>
      <c r="AB269" s="835"/>
      <c r="AC269" s="835"/>
      <c r="AD269" s="835"/>
      <c r="AE269" s="835"/>
      <c r="AF269" s="835"/>
    </row>
    <row r="270" spans="1:32" ht="21">
      <c r="A270" s="827" t="s">
        <v>1246</v>
      </c>
      <c r="B270" s="828" t="s">
        <v>4022</v>
      </c>
      <c r="C270" s="828" t="s">
        <v>1247</v>
      </c>
      <c r="D270" s="829" t="s">
        <v>1248</v>
      </c>
      <c r="E270" s="830" t="s">
        <v>4794</v>
      </c>
      <c r="F270" s="830" t="s">
        <v>4794</v>
      </c>
      <c r="G270" s="830" t="s">
        <v>4794</v>
      </c>
      <c r="H270" s="830"/>
      <c r="I270" s="831">
        <v>5</v>
      </c>
      <c r="J270" s="830"/>
      <c r="K270" s="830" t="s">
        <v>4794</v>
      </c>
      <c r="L270" s="831">
        <v>5</v>
      </c>
      <c r="M270" s="830" t="s">
        <v>4794</v>
      </c>
      <c r="N270" s="830" t="s">
        <v>4794</v>
      </c>
      <c r="O270" s="830" t="s">
        <v>4794</v>
      </c>
      <c r="P270" s="830" t="s">
        <v>4794</v>
      </c>
      <c r="Q270" s="832">
        <f t="shared" si="3"/>
        <v>10</v>
      </c>
      <c r="R270" s="833" t="s">
        <v>4025</v>
      </c>
      <c r="S270" s="834"/>
      <c r="T270" s="835"/>
      <c r="U270" s="835"/>
      <c r="V270" s="835"/>
      <c r="W270" s="835"/>
      <c r="X270" s="835"/>
      <c r="Y270" s="835"/>
      <c r="Z270" s="835"/>
      <c r="AA270" s="835"/>
      <c r="AB270" s="835"/>
      <c r="AC270" s="835"/>
      <c r="AD270" s="835"/>
      <c r="AE270" s="835"/>
      <c r="AF270" s="835"/>
    </row>
    <row r="271" spans="1:32" ht="21">
      <c r="A271" s="827" t="s">
        <v>1249</v>
      </c>
      <c r="B271" s="828" t="s">
        <v>4022</v>
      </c>
      <c r="C271" s="828" t="s">
        <v>1250</v>
      </c>
      <c r="D271" s="829" t="s">
        <v>1251</v>
      </c>
      <c r="E271" s="830" t="s">
        <v>4794</v>
      </c>
      <c r="F271" s="830" t="s">
        <v>4794</v>
      </c>
      <c r="G271" s="830" t="s">
        <v>4794</v>
      </c>
      <c r="H271" s="830"/>
      <c r="I271" s="830" t="s">
        <v>4794</v>
      </c>
      <c r="J271" s="831">
        <v>5</v>
      </c>
      <c r="K271" s="830" t="s">
        <v>4794</v>
      </c>
      <c r="L271" s="831">
        <v>5</v>
      </c>
      <c r="M271" s="830" t="s">
        <v>4794</v>
      </c>
      <c r="N271" s="830" t="s">
        <v>4794</v>
      </c>
      <c r="O271" s="830" t="s">
        <v>4794</v>
      </c>
      <c r="P271" s="830" t="s">
        <v>4794</v>
      </c>
      <c r="Q271" s="832">
        <f t="shared" si="3"/>
        <v>10</v>
      </c>
      <c r="R271" s="833" t="s">
        <v>4025</v>
      </c>
      <c r="S271" s="834"/>
      <c r="T271" s="835"/>
      <c r="U271" s="835"/>
      <c r="V271" s="835"/>
      <c r="W271" s="835"/>
      <c r="X271" s="835"/>
      <c r="Y271" s="835"/>
      <c r="Z271" s="835"/>
      <c r="AA271" s="835"/>
      <c r="AB271" s="835"/>
      <c r="AC271" s="835"/>
      <c r="AD271" s="835"/>
      <c r="AE271" s="835"/>
      <c r="AF271" s="835"/>
    </row>
    <row r="272" spans="1:32" ht="21">
      <c r="A272" s="827" t="s">
        <v>1252</v>
      </c>
      <c r="B272" s="828" t="s">
        <v>4022</v>
      </c>
      <c r="C272" s="828" t="s">
        <v>1253</v>
      </c>
      <c r="D272" s="829" t="s">
        <v>1254</v>
      </c>
      <c r="E272" s="830" t="s">
        <v>4794</v>
      </c>
      <c r="F272" s="830" t="s">
        <v>4794</v>
      </c>
      <c r="G272" s="830" t="s">
        <v>4794</v>
      </c>
      <c r="H272" s="830"/>
      <c r="I272" s="830" t="s">
        <v>4794</v>
      </c>
      <c r="J272" s="831">
        <v>5</v>
      </c>
      <c r="K272" s="830" t="s">
        <v>4794</v>
      </c>
      <c r="L272" s="831">
        <v>5</v>
      </c>
      <c r="M272" s="830" t="s">
        <v>4794</v>
      </c>
      <c r="N272" s="830" t="s">
        <v>4794</v>
      </c>
      <c r="O272" s="830" t="s">
        <v>4794</v>
      </c>
      <c r="P272" s="830" t="s">
        <v>4794</v>
      </c>
      <c r="Q272" s="832">
        <f t="shared" si="3"/>
        <v>10</v>
      </c>
      <c r="R272" s="833" t="s">
        <v>4025</v>
      </c>
      <c r="S272" s="834"/>
      <c r="T272" s="835"/>
      <c r="U272" s="835"/>
      <c r="V272" s="835"/>
      <c r="W272" s="835"/>
      <c r="X272" s="835"/>
      <c r="Y272" s="835"/>
      <c r="Z272" s="835"/>
      <c r="AA272" s="835"/>
      <c r="AB272" s="835"/>
      <c r="AC272" s="835"/>
      <c r="AD272" s="835"/>
      <c r="AE272" s="835"/>
      <c r="AF272" s="835"/>
    </row>
    <row r="273" spans="1:32" ht="21">
      <c r="A273" s="827" t="s">
        <v>1255</v>
      </c>
      <c r="B273" s="828" t="s">
        <v>4022</v>
      </c>
      <c r="C273" s="828" t="s">
        <v>1256</v>
      </c>
      <c r="D273" s="829" t="s">
        <v>1257</v>
      </c>
      <c r="E273" s="830" t="s">
        <v>4794</v>
      </c>
      <c r="F273" s="830" t="s">
        <v>4794</v>
      </c>
      <c r="G273" s="830" t="s">
        <v>4794</v>
      </c>
      <c r="H273" s="830" t="s">
        <v>4794</v>
      </c>
      <c r="I273" s="831">
        <v>10</v>
      </c>
      <c r="J273" s="830" t="s">
        <v>4794</v>
      </c>
      <c r="K273" s="831">
        <v>5</v>
      </c>
      <c r="L273" s="830" t="s">
        <v>4794</v>
      </c>
      <c r="M273" s="830" t="s">
        <v>4794</v>
      </c>
      <c r="N273" s="830" t="s">
        <v>4794</v>
      </c>
      <c r="O273" s="830" t="s">
        <v>4794</v>
      </c>
      <c r="P273" s="830" t="s">
        <v>4794</v>
      </c>
      <c r="Q273" s="832">
        <f t="shared" si="3"/>
        <v>15</v>
      </c>
      <c r="R273" s="833" t="s">
        <v>4025</v>
      </c>
      <c r="S273" s="834"/>
      <c r="T273" s="853"/>
      <c r="U273" s="853"/>
      <c r="V273" s="853"/>
      <c r="W273" s="853"/>
      <c r="X273" s="853"/>
      <c r="Y273" s="853"/>
      <c r="Z273" s="853"/>
      <c r="AA273" s="853"/>
      <c r="AB273" s="853"/>
      <c r="AC273" s="853"/>
      <c r="AD273" s="853"/>
      <c r="AE273" s="853"/>
      <c r="AF273" s="835"/>
    </row>
    <row r="274" spans="1:32" ht="31.5">
      <c r="A274" s="827" t="s">
        <v>1258</v>
      </c>
      <c r="B274" s="828" t="s">
        <v>4022</v>
      </c>
      <c r="C274" s="828" t="s">
        <v>1259</v>
      </c>
      <c r="D274" s="829" t="s">
        <v>2768</v>
      </c>
      <c r="E274" s="830" t="s">
        <v>4794</v>
      </c>
      <c r="F274" s="830" t="s">
        <v>4794</v>
      </c>
      <c r="G274" s="830" t="s">
        <v>4794</v>
      </c>
      <c r="H274" s="831">
        <v>1</v>
      </c>
      <c r="I274" s="830" t="s">
        <v>4794</v>
      </c>
      <c r="J274" s="831">
        <v>1</v>
      </c>
      <c r="K274" s="830" t="s">
        <v>4794</v>
      </c>
      <c r="L274" s="830" t="s">
        <v>4794</v>
      </c>
      <c r="M274" s="830" t="s">
        <v>4794</v>
      </c>
      <c r="N274" s="830" t="s">
        <v>4794</v>
      </c>
      <c r="O274" s="830" t="s">
        <v>4794</v>
      </c>
      <c r="P274" s="830" t="s">
        <v>4794</v>
      </c>
      <c r="Q274" s="832">
        <f t="shared" si="3"/>
        <v>2</v>
      </c>
      <c r="R274" s="833" t="s">
        <v>4025</v>
      </c>
      <c r="S274" s="834"/>
      <c r="T274" s="853"/>
      <c r="U274" s="853"/>
      <c r="V274" s="853"/>
      <c r="W274" s="853"/>
      <c r="X274" s="853"/>
      <c r="Y274" s="853"/>
      <c r="Z274" s="853"/>
      <c r="AA274" s="853"/>
      <c r="AB274" s="853"/>
      <c r="AC274" s="853"/>
      <c r="AD274" s="853"/>
      <c r="AE274" s="853"/>
      <c r="AF274" s="835"/>
    </row>
    <row r="275" spans="1:32" ht="53.25">
      <c r="A275" s="827" t="s">
        <v>2769</v>
      </c>
      <c r="B275" s="828" t="s">
        <v>4022</v>
      </c>
      <c r="C275" s="828">
        <v>9107662</v>
      </c>
      <c r="D275" s="858" t="s">
        <v>2770</v>
      </c>
      <c r="E275" s="830"/>
      <c r="F275" s="830"/>
      <c r="G275" s="830"/>
      <c r="H275" s="830"/>
      <c r="I275" s="830"/>
      <c r="J275" s="830"/>
      <c r="K275" s="831">
        <v>1</v>
      </c>
      <c r="L275" s="830"/>
      <c r="M275" s="830"/>
      <c r="N275" s="830"/>
      <c r="O275" s="830"/>
      <c r="P275" s="830"/>
      <c r="Q275" s="832">
        <f t="shared" si="3"/>
        <v>1</v>
      </c>
      <c r="R275" s="833" t="s">
        <v>4025</v>
      </c>
      <c r="S275" s="834"/>
      <c r="T275" s="835"/>
      <c r="U275" s="835"/>
      <c r="V275" s="835"/>
      <c r="W275" s="835"/>
      <c r="X275" s="835"/>
      <c r="Y275" s="835"/>
      <c r="Z275" s="835"/>
      <c r="AA275" s="835"/>
      <c r="AB275" s="835"/>
      <c r="AC275" s="835"/>
      <c r="AD275" s="835"/>
      <c r="AE275" s="835"/>
      <c r="AF275" s="835"/>
    </row>
    <row r="276" spans="1:32" ht="42">
      <c r="A276" s="827" t="s">
        <v>2771</v>
      </c>
      <c r="B276" s="828" t="s">
        <v>4022</v>
      </c>
      <c r="C276" s="828">
        <v>3704271</v>
      </c>
      <c r="D276" s="829" t="s">
        <v>2772</v>
      </c>
      <c r="E276" s="830"/>
      <c r="F276" s="830"/>
      <c r="G276" s="830"/>
      <c r="H276" s="830"/>
      <c r="I276" s="830"/>
      <c r="J276" s="830"/>
      <c r="K276" s="831">
        <v>2</v>
      </c>
      <c r="L276" s="830"/>
      <c r="M276" s="830"/>
      <c r="N276" s="830"/>
      <c r="O276" s="830"/>
      <c r="P276" s="830"/>
      <c r="Q276" s="832">
        <f t="shared" si="3"/>
        <v>2</v>
      </c>
      <c r="R276" s="833" t="s">
        <v>4025</v>
      </c>
      <c r="S276" s="834"/>
      <c r="T276" s="835"/>
      <c r="U276" s="835"/>
      <c r="V276" s="835"/>
      <c r="W276" s="835"/>
      <c r="X276" s="835"/>
      <c r="Y276" s="835"/>
      <c r="Z276" s="835"/>
      <c r="AA276" s="835"/>
      <c r="AB276" s="835"/>
      <c r="AC276" s="835"/>
      <c r="AD276" s="835"/>
      <c r="AE276" s="835"/>
      <c r="AF276" s="835"/>
    </row>
    <row r="277" spans="1:32" ht="42">
      <c r="A277" s="827" t="s">
        <v>2773</v>
      </c>
      <c r="B277" s="828" t="s">
        <v>4022</v>
      </c>
      <c r="C277" s="828">
        <v>3704272</v>
      </c>
      <c r="D277" s="829" t="s">
        <v>2774</v>
      </c>
      <c r="E277" s="830"/>
      <c r="F277" s="830"/>
      <c r="G277" s="830"/>
      <c r="H277" s="830"/>
      <c r="I277" s="830"/>
      <c r="J277" s="830"/>
      <c r="K277" s="831">
        <v>2</v>
      </c>
      <c r="L277" s="830"/>
      <c r="M277" s="830"/>
      <c r="N277" s="830"/>
      <c r="O277" s="830"/>
      <c r="P277" s="830"/>
      <c r="Q277" s="832">
        <f t="shared" si="3"/>
        <v>2</v>
      </c>
      <c r="R277" s="833" t="s">
        <v>4025</v>
      </c>
      <c r="S277" s="834"/>
      <c r="T277" s="837"/>
      <c r="U277" s="837"/>
      <c r="V277" s="837"/>
      <c r="W277" s="837"/>
      <c r="X277" s="837"/>
      <c r="Y277" s="837"/>
      <c r="Z277" s="837"/>
      <c r="AA277" s="837"/>
      <c r="AB277" s="837"/>
      <c r="AC277" s="837"/>
      <c r="AD277" s="837"/>
      <c r="AE277" s="837"/>
      <c r="AF277" s="835"/>
    </row>
    <row r="278" spans="1:32" ht="42">
      <c r="A278" s="827" t="s">
        <v>2775</v>
      </c>
      <c r="B278" s="828" t="s">
        <v>4022</v>
      </c>
      <c r="C278" s="828">
        <v>3704273</v>
      </c>
      <c r="D278" s="829" t="s">
        <v>2776</v>
      </c>
      <c r="E278" s="830"/>
      <c r="F278" s="830"/>
      <c r="G278" s="830"/>
      <c r="H278" s="830"/>
      <c r="I278" s="830"/>
      <c r="J278" s="831">
        <v>2</v>
      </c>
      <c r="K278" s="830"/>
      <c r="L278" s="830"/>
      <c r="M278" s="830"/>
      <c r="N278" s="830"/>
      <c r="O278" s="830"/>
      <c r="P278" s="830"/>
      <c r="Q278" s="832">
        <f t="shared" si="3"/>
        <v>2</v>
      </c>
      <c r="R278" s="833" t="s">
        <v>4025</v>
      </c>
      <c r="S278" s="834"/>
      <c r="T278" s="837"/>
      <c r="U278" s="837"/>
      <c r="V278" s="837"/>
      <c r="W278" s="837"/>
      <c r="X278" s="837"/>
      <c r="Y278" s="837"/>
      <c r="Z278" s="837"/>
      <c r="AA278" s="837"/>
      <c r="AB278" s="837"/>
      <c r="AC278" s="837"/>
      <c r="AD278" s="837"/>
      <c r="AE278" s="837"/>
      <c r="AF278" s="835"/>
    </row>
    <row r="279" spans="1:32" ht="42">
      <c r="A279" s="827" t="s">
        <v>2777</v>
      </c>
      <c r="B279" s="828" t="s">
        <v>4022</v>
      </c>
      <c r="C279" s="828">
        <v>3704274</v>
      </c>
      <c r="D279" s="829" t="s">
        <v>2778</v>
      </c>
      <c r="E279" s="830"/>
      <c r="F279" s="830"/>
      <c r="G279" s="830"/>
      <c r="H279" s="830"/>
      <c r="I279" s="830"/>
      <c r="J279" s="831">
        <v>2</v>
      </c>
      <c r="K279" s="830"/>
      <c r="L279" s="830"/>
      <c r="M279" s="830"/>
      <c r="N279" s="830"/>
      <c r="O279" s="830"/>
      <c r="P279" s="830"/>
      <c r="Q279" s="832">
        <f t="shared" si="3"/>
        <v>2</v>
      </c>
      <c r="R279" s="833" t="s">
        <v>4025</v>
      </c>
      <c r="S279" s="859"/>
      <c r="T279" s="859"/>
      <c r="U279" s="859"/>
      <c r="V279" s="859"/>
      <c r="W279" s="859"/>
      <c r="X279" s="859"/>
      <c r="Y279" s="859"/>
      <c r="Z279" s="859"/>
      <c r="AA279" s="859"/>
      <c r="AB279" s="859"/>
      <c r="AC279" s="859"/>
      <c r="AD279" s="859"/>
      <c r="AE279" s="859"/>
      <c r="AF279" s="859"/>
    </row>
    <row r="280" spans="1:32" ht="42">
      <c r="A280" s="827" t="s">
        <v>2779</v>
      </c>
      <c r="B280" s="828" t="s">
        <v>4022</v>
      </c>
      <c r="C280" s="828">
        <v>3704275</v>
      </c>
      <c r="D280" s="829" t="s">
        <v>2780</v>
      </c>
      <c r="E280" s="830"/>
      <c r="F280" s="830"/>
      <c r="G280" s="830"/>
      <c r="H280" s="830"/>
      <c r="I280" s="830"/>
      <c r="J280" s="830"/>
      <c r="K280" s="831">
        <v>2</v>
      </c>
      <c r="L280" s="830"/>
      <c r="M280" s="830"/>
      <c r="N280" s="830"/>
      <c r="O280" s="830"/>
      <c r="P280" s="830"/>
      <c r="Q280" s="832">
        <f t="shared" si="3"/>
        <v>2</v>
      </c>
      <c r="R280" s="833" t="s">
        <v>4025</v>
      </c>
      <c r="S280" s="834"/>
      <c r="T280" s="850"/>
      <c r="U280" s="850"/>
      <c r="V280" s="850"/>
      <c r="W280" s="850"/>
      <c r="X280" s="850"/>
      <c r="Y280" s="850"/>
      <c r="Z280" s="850"/>
      <c r="AA280" s="850"/>
      <c r="AB280" s="850"/>
      <c r="AC280" s="850"/>
      <c r="AD280" s="850"/>
      <c r="AE280" s="850"/>
      <c r="AF280" s="835"/>
    </row>
    <row r="281" spans="1:32" ht="42">
      <c r="A281" s="827" t="s">
        <v>2781</v>
      </c>
      <c r="B281" s="828" t="s">
        <v>4022</v>
      </c>
      <c r="C281" s="828">
        <v>9104592</v>
      </c>
      <c r="D281" s="829" t="s">
        <v>2782</v>
      </c>
      <c r="E281" s="830"/>
      <c r="F281" s="830"/>
      <c r="G281" s="830"/>
      <c r="H281" s="830"/>
      <c r="I281" s="830"/>
      <c r="J281" s="831">
        <v>2</v>
      </c>
      <c r="K281" s="830"/>
      <c r="L281" s="830"/>
      <c r="M281" s="830"/>
      <c r="N281" s="830"/>
      <c r="O281" s="830"/>
      <c r="P281" s="830"/>
      <c r="Q281" s="832">
        <f t="shared" si="3"/>
        <v>2</v>
      </c>
      <c r="R281" s="833" t="s">
        <v>4025</v>
      </c>
      <c r="S281" s="834"/>
      <c r="T281" s="850"/>
      <c r="U281" s="850"/>
      <c r="V281" s="850"/>
      <c r="W281" s="850"/>
      <c r="X281" s="850"/>
      <c r="Y281" s="850"/>
      <c r="Z281" s="850"/>
      <c r="AA281" s="850"/>
      <c r="AB281" s="850"/>
      <c r="AC281" s="850"/>
      <c r="AD281" s="850"/>
      <c r="AE281" s="850"/>
      <c r="AF281" s="835"/>
    </row>
    <row r="282" spans="1:32" ht="42">
      <c r="A282" s="827" t="s">
        <v>2783</v>
      </c>
      <c r="B282" s="828" t="s">
        <v>4022</v>
      </c>
      <c r="C282" s="828">
        <v>9104591</v>
      </c>
      <c r="D282" s="829" t="s">
        <v>2784</v>
      </c>
      <c r="E282" s="830"/>
      <c r="F282" s="830"/>
      <c r="G282" s="830"/>
      <c r="H282" s="830"/>
      <c r="I282" s="830"/>
      <c r="J282" s="831">
        <v>2</v>
      </c>
      <c r="K282" s="830"/>
      <c r="L282" s="830"/>
      <c r="M282" s="830"/>
      <c r="N282" s="830"/>
      <c r="O282" s="830"/>
      <c r="P282" s="830"/>
      <c r="Q282" s="832">
        <f t="shared" si="3"/>
        <v>2</v>
      </c>
      <c r="R282" s="833" t="s">
        <v>4025</v>
      </c>
      <c r="S282" s="834"/>
      <c r="T282" s="850"/>
      <c r="U282" s="850"/>
      <c r="V282" s="850"/>
      <c r="W282" s="850"/>
      <c r="X282" s="850"/>
      <c r="Y282" s="850"/>
      <c r="Z282" s="850"/>
      <c r="AA282" s="850"/>
      <c r="AB282" s="850"/>
      <c r="AC282" s="850"/>
      <c r="AD282" s="850"/>
      <c r="AE282" s="850"/>
      <c r="AF282" s="835"/>
    </row>
    <row r="283" spans="1:32" ht="42">
      <c r="A283" s="827" t="s">
        <v>2785</v>
      </c>
      <c r="B283" s="828" t="s">
        <v>4022</v>
      </c>
      <c r="C283" s="828" t="s">
        <v>2786</v>
      </c>
      <c r="D283" s="829" t="s">
        <v>2787</v>
      </c>
      <c r="E283" s="830" t="s">
        <v>4794</v>
      </c>
      <c r="F283" s="830" t="s">
        <v>4794</v>
      </c>
      <c r="G283" s="830" t="s">
        <v>4794</v>
      </c>
      <c r="H283" s="830" t="s">
        <v>4794</v>
      </c>
      <c r="I283" s="831">
        <v>1</v>
      </c>
      <c r="J283" s="830" t="s">
        <v>4794</v>
      </c>
      <c r="K283" s="830" t="s">
        <v>4794</v>
      </c>
      <c r="L283" s="830" t="s">
        <v>4794</v>
      </c>
      <c r="M283" s="830" t="s">
        <v>4794</v>
      </c>
      <c r="N283" s="830" t="s">
        <v>4794</v>
      </c>
      <c r="O283" s="830" t="s">
        <v>4794</v>
      </c>
      <c r="P283" s="830" t="s">
        <v>4794</v>
      </c>
      <c r="Q283" s="832">
        <f t="shared" si="3"/>
        <v>1</v>
      </c>
      <c r="R283" s="833" t="s">
        <v>4025</v>
      </c>
      <c r="S283" s="834"/>
      <c r="T283" s="850"/>
      <c r="U283" s="850"/>
      <c r="V283" s="850"/>
      <c r="W283" s="850"/>
      <c r="X283" s="850"/>
      <c r="Y283" s="850"/>
      <c r="Z283" s="850"/>
      <c r="AA283" s="850"/>
      <c r="AB283" s="850"/>
      <c r="AC283" s="850"/>
      <c r="AD283" s="850"/>
      <c r="AE283" s="850"/>
      <c r="AF283" s="835"/>
    </row>
    <row r="284" spans="1:32" ht="73.5">
      <c r="A284" s="827" t="s">
        <v>2788</v>
      </c>
      <c r="B284" s="828" t="s">
        <v>4022</v>
      </c>
      <c r="C284" s="828" t="s">
        <v>2789</v>
      </c>
      <c r="D284" s="829" t="s">
        <v>2790</v>
      </c>
      <c r="E284" s="830" t="s">
        <v>4794</v>
      </c>
      <c r="F284" s="830" t="s">
        <v>4794</v>
      </c>
      <c r="G284" s="830" t="s">
        <v>4794</v>
      </c>
      <c r="H284" s="830" t="s">
        <v>4794</v>
      </c>
      <c r="I284" s="830" t="s">
        <v>4794</v>
      </c>
      <c r="J284" s="831">
        <v>1</v>
      </c>
      <c r="K284" s="830" t="s">
        <v>4794</v>
      </c>
      <c r="L284" s="830" t="s">
        <v>4794</v>
      </c>
      <c r="M284" s="830" t="s">
        <v>4794</v>
      </c>
      <c r="N284" s="830" t="s">
        <v>4794</v>
      </c>
      <c r="O284" s="830" t="s">
        <v>4794</v>
      </c>
      <c r="P284" s="830" t="s">
        <v>4794</v>
      </c>
      <c r="Q284" s="832">
        <f t="shared" si="3"/>
        <v>1</v>
      </c>
      <c r="R284" s="833" t="s">
        <v>4025</v>
      </c>
      <c r="S284" s="834"/>
      <c r="T284" s="850"/>
      <c r="U284" s="850"/>
      <c r="V284" s="850"/>
      <c r="W284" s="850"/>
      <c r="X284" s="850"/>
      <c r="Y284" s="850"/>
      <c r="Z284" s="850"/>
      <c r="AA284" s="850"/>
      <c r="AB284" s="850"/>
      <c r="AC284" s="850"/>
      <c r="AD284" s="850"/>
      <c r="AE284" s="850"/>
      <c r="AF284" s="835"/>
    </row>
    <row r="285" spans="1:32" ht="52.5">
      <c r="A285" s="827" t="s">
        <v>2791</v>
      </c>
      <c r="B285" s="828" t="s">
        <v>4022</v>
      </c>
      <c r="C285" s="828" t="s">
        <v>2792</v>
      </c>
      <c r="D285" s="829" t="s">
        <v>2793</v>
      </c>
      <c r="E285" s="830" t="s">
        <v>4794</v>
      </c>
      <c r="F285" s="830" t="s">
        <v>4794</v>
      </c>
      <c r="G285" s="830" t="s">
        <v>4794</v>
      </c>
      <c r="H285" s="830" t="s">
        <v>4794</v>
      </c>
      <c r="I285" s="831">
        <v>20</v>
      </c>
      <c r="J285" s="830" t="s">
        <v>4794</v>
      </c>
      <c r="K285" s="831">
        <v>20</v>
      </c>
      <c r="L285" s="830" t="s">
        <v>4794</v>
      </c>
      <c r="M285" s="830" t="s">
        <v>4794</v>
      </c>
      <c r="N285" s="830" t="s">
        <v>4794</v>
      </c>
      <c r="O285" s="830" t="s">
        <v>4794</v>
      </c>
      <c r="P285" s="830" t="s">
        <v>4794</v>
      </c>
      <c r="Q285" s="832">
        <f t="shared" si="3"/>
        <v>40</v>
      </c>
      <c r="R285" s="833" t="s">
        <v>4025</v>
      </c>
      <c r="S285" s="834"/>
      <c r="T285" s="850"/>
      <c r="U285" s="850"/>
      <c r="V285" s="850"/>
      <c r="W285" s="850"/>
      <c r="X285" s="850"/>
      <c r="Y285" s="850"/>
      <c r="Z285" s="850"/>
      <c r="AA285" s="850"/>
      <c r="AB285" s="850"/>
      <c r="AC285" s="850"/>
      <c r="AD285" s="850"/>
      <c r="AE285" s="850"/>
      <c r="AF285" s="835"/>
    </row>
    <row r="286" spans="1:32" ht="63">
      <c r="A286" s="827" t="s">
        <v>2794</v>
      </c>
      <c r="B286" s="828" t="s">
        <v>4022</v>
      </c>
      <c r="C286" s="828" t="s">
        <v>2795</v>
      </c>
      <c r="D286" s="829" t="s">
        <v>2796</v>
      </c>
      <c r="E286" s="830" t="s">
        <v>4794</v>
      </c>
      <c r="F286" s="830" t="s">
        <v>4794</v>
      </c>
      <c r="G286" s="830" t="s">
        <v>4794</v>
      </c>
      <c r="H286" s="830" t="s">
        <v>4794</v>
      </c>
      <c r="I286" s="831">
        <v>10</v>
      </c>
      <c r="J286" s="830" t="s">
        <v>4794</v>
      </c>
      <c r="K286" s="831">
        <v>50</v>
      </c>
      <c r="L286" s="830" t="s">
        <v>4794</v>
      </c>
      <c r="M286" s="830" t="s">
        <v>4794</v>
      </c>
      <c r="N286" s="830" t="s">
        <v>4794</v>
      </c>
      <c r="O286" s="830" t="s">
        <v>4794</v>
      </c>
      <c r="P286" s="830" t="s">
        <v>4794</v>
      </c>
      <c r="Q286" s="832">
        <f t="shared" si="3"/>
        <v>60</v>
      </c>
      <c r="R286" s="833" t="s">
        <v>4025</v>
      </c>
      <c r="S286" s="834"/>
      <c r="T286" s="850"/>
      <c r="U286" s="850"/>
      <c r="V286" s="850"/>
      <c r="W286" s="850"/>
      <c r="X286" s="850"/>
      <c r="Y286" s="850"/>
      <c r="Z286" s="850"/>
      <c r="AA286" s="850"/>
      <c r="AB286" s="850"/>
      <c r="AC286" s="850"/>
      <c r="AD286" s="850"/>
      <c r="AE286" s="850"/>
      <c r="AF286" s="835"/>
    </row>
    <row r="287" spans="1:32" ht="52.5">
      <c r="A287" s="827" t="s">
        <v>2797</v>
      </c>
      <c r="B287" s="828" t="s">
        <v>4022</v>
      </c>
      <c r="C287" s="828" t="s">
        <v>2798</v>
      </c>
      <c r="D287" s="829" t="s">
        <v>2799</v>
      </c>
      <c r="E287" s="830" t="s">
        <v>4794</v>
      </c>
      <c r="F287" s="830" t="s">
        <v>4794</v>
      </c>
      <c r="G287" s="830" t="s">
        <v>4794</v>
      </c>
      <c r="H287" s="830" t="s">
        <v>4794</v>
      </c>
      <c r="I287" s="831">
        <v>10</v>
      </c>
      <c r="J287" s="830" t="s">
        <v>4794</v>
      </c>
      <c r="K287" s="831">
        <v>50</v>
      </c>
      <c r="L287" s="830" t="s">
        <v>4794</v>
      </c>
      <c r="M287" s="830" t="s">
        <v>4794</v>
      </c>
      <c r="N287" s="830" t="s">
        <v>4794</v>
      </c>
      <c r="O287" s="830" t="s">
        <v>4794</v>
      </c>
      <c r="P287" s="830" t="s">
        <v>4794</v>
      </c>
      <c r="Q287" s="832">
        <f t="shared" si="3"/>
        <v>60</v>
      </c>
      <c r="R287" s="833" t="s">
        <v>4025</v>
      </c>
      <c r="S287" s="834"/>
      <c r="T287" s="850"/>
      <c r="U287" s="850"/>
      <c r="V287" s="850"/>
      <c r="W287" s="850"/>
      <c r="X287" s="850"/>
      <c r="Y287" s="850"/>
      <c r="Z287" s="850"/>
      <c r="AA287" s="850"/>
      <c r="AB287" s="850"/>
      <c r="AC287" s="850"/>
      <c r="AD287" s="850"/>
      <c r="AE287" s="850"/>
      <c r="AF287" s="835"/>
    </row>
    <row r="288" spans="1:32" ht="52.5">
      <c r="A288" s="827" t="s">
        <v>2800</v>
      </c>
      <c r="B288" s="828" t="s">
        <v>4022</v>
      </c>
      <c r="C288" s="828" t="s">
        <v>2801</v>
      </c>
      <c r="D288" s="829" t="s">
        <v>2802</v>
      </c>
      <c r="E288" s="830" t="s">
        <v>4794</v>
      </c>
      <c r="F288" s="830" t="s">
        <v>4794</v>
      </c>
      <c r="G288" s="830" t="s">
        <v>4794</v>
      </c>
      <c r="H288" s="830" t="s">
        <v>4794</v>
      </c>
      <c r="I288" s="831">
        <v>10</v>
      </c>
      <c r="J288" s="830" t="s">
        <v>4794</v>
      </c>
      <c r="K288" s="831">
        <v>50</v>
      </c>
      <c r="L288" s="830" t="s">
        <v>4794</v>
      </c>
      <c r="M288" s="830" t="s">
        <v>4794</v>
      </c>
      <c r="N288" s="830" t="s">
        <v>4794</v>
      </c>
      <c r="O288" s="830" t="s">
        <v>4794</v>
      </c>
      <c r="P288" s="830" t="s">
        <v>4794</v>
      </c>
      <c r="Q288" s="832">
        <f t="shared" si="3"/>
        <v>60</v>
      </c>
      <c r="R288" s="833" t="s">
        <v>4025</v>
      </c>
      <c r="S288" s="834"/>
      <c r="T288" s="850"/>
      <c r="U288" s="850"/>
      <c r="V288" s="850"/>
      <c r="W288" s="850"/>
      <c r="X288" s="850"/>
      <c r="Y288" s="850"/>
      <c r="Z288" s="850"/>
      <c r="AA288" s="850"/>
      <c r="AB288" s="850"/>
      <c r="AC288" s="850"/>
      <c r="AD288" s="850"/>
      <c r="AE288" s="850"/>
      <c r="AF288" s="835"/>
    </row>
    <row r="289" spans="1:32" ht="63">
      <c r="A289" s="827" t="s">
        <v>2803</v>
      </c>
      <c r="B289" s="828" t="s">
        <v>4022</v>
      </c>
      <c r="C289" s="828" t="s">
        <v>2804</v>
      </c>
      <c r="D289" s="829" t="s">
        <v>2805</v>
      </c>
      <c r="E289" s="830" t="s">
        <v>4794</v>
      </c>
      <c r="F289" s="830" t="s">
        <v>4794</v>
      </c>
      <c r="G289" s="830" t="s">
        <v>4794</v>
      </c>
      <c r="H289" s="830"/>
      <c r="I289" s="830" t="s">
        <v>4794</v>
      </c>
      <c r="J289" s="830" t="s">
        <v>4794</v>
      </c>
      <c r="K289" s="831">
        <v>2</v>
      </c>
      <c r="L289" s="830" t="s">
        <v>4794</v>
      </c>
      <c r="M289" s="831">
        <v>2</v>
      </c>
      <c r="N289" s="830" t="s">
        <v>4794</v>
      </c>
      <c r="O289" s="830" t="s">
        <v>4794</v>
      </c>
      <c r="P289" s="830" t="s">
        <v>4794</v>
      </c>
      <c r="Q289" s="832">
        <f t="shared" si="3"/>
        <v>4</v>
      </c>
      <c r="R289" s="833" t="s">
        <v>4025</v>
      </c>
      <c r="S289" s="834"/>
      <c r="T289" s="850"/>
      <c r="U289" s="850"/>
      <c r="V289" s="850"/>
      <c r="W289" s="850"/>
      <c r="X289" s="850"/>
      <c r="Y289" s="850"/>
      <c r="Z289" s="850"/>
      <c r="AA289" s="850"/>
      <c r="AB289" s="850"/>
      <c r="AC289" s="850"/>
      <c r="AD289" s="850"/>
      <c r="AE289" s="850"/>
      <c r="AF289" s="835"/>
    </row>
    <row r="290" spans="1:32" ht="31.5">
      <c r="A290" s="827" t="s">
        <v>2806</v>
      </c>
      <c r="B290" s="828" t="s">
        <v>4022</v>
      </c>
      <c r="C290" s="828" t="s">
        <v>2807</v>
      </c>
      <c r="D290" s="829" t="s">
        <v>2808</v>
      </c>
      <c r="E290" s="830" t="s">
        <v>4794</v>
      </c>
      <c r="F290" s="830" t="s">
        <v>4794</v>
      </c>
      <c r="G290" s="830" t="s">
        <v>4794</v>
      </c>
      <c r="H290" s="830"/>
      <c r="I290" s="830" t="s">
        <v>4794</v>
      </c>
      <c r="J290" s="831">
        <v>2</v>
      </c>
      <c r="K290" s="831">
        <v>2</v>
      </c>
      <c r="L290" s="831">
        <v>2</v>
      </c>
      <c r="M290" s="830" t="s">
        <v>4794</v>
      </c>
      <c r="N290" s="830" t="s">
        <v>4794</v>
      </c>
      <c r="O290" s="830" t="s">
        <v>4794</v>
      </c>
      <c r="P290" s="830" t="s">
        <v>4794</v>
      </c>
      <c r="Q290" s="832">
        <f t="shared" si="3"/>
        <v>6</v>
      </c>
      <c r="R290" s="833" t="s">
        <v>4025</v>
      </c>
      <c r="S290" s="834"/>
      <c r="T290" s="850"/>
      <c r="U290" s="850"/>
      <c r="V290" s="850"/>
      <c r="W290" s="850"/>
      <c r="X290" s="850"/>
      <c r="Y290" s="850"/>
      <c r="Z290" s="850"/>
      <c r="AA290" s="850"/>
      <c r="AB290" s="850"/>
      <c r="AC290" s="850"/>
      <c r="AD290" s="850"/>
      <c r="AE290" s="850"/>
      <c r="AF290" s="835"/>
    </row>
    <row r="291" spans="1:32" ht="21">
      <c r="A291" s="827" t="s">
        <v>2809</v>
      </c>
      <c r="B291" s="828" t="s">
        <v>4022</v>
      </c>
      <c r="C291" s="828" t="s">
        <v>2810</v>
      </c>
      <c r="D291" s="829" t="s">
        <v>84</v>
      </c>
      <c r="E291" s="830" t="s">
        <v>4794</v>
      </c>
      <c r="F291" s="830" t="s">
        <v>4794</v>
      </c>
      <c r="G291" s="830" t="s">
        <v>4794</v>
      </c>
      <c r="H291" s="830"/>
      <c r="I291" s="830" t="s">
        <v>4794</v>
      </c>
      <c r="J291" s="831">
        <v>2</v>
      </c>
      <c r="K291" s="830" t="s">
        <v>4794</v>
      </c>
      <c r="L291" s="831">
        <v>2</v>
      </c>
      <c r="M291" s="830" t="s">
        <v>4794</v>
      </c>
      <c r="N291" s="830" t="s">
        <v>4794</v>
      </c>
      <c r="O291" s="830" t="s">
        <v>4794</v>
      </c>
      <c r="P291" s="830" t="s">
        <v>4794</v>
      </c>
      <c r="Q291" s="832">
        <f t="shared" si="3"/>
        <v>4</v>
      </c>
      <c r="R291" s="833" t="s">
        <v>4025</v>
      </c>
      <c r="S291" s="834"/>
      <c r="T291" s="850"/>
      <c r="U291" s="850"/>
      <c r="V291" s="850"/>
      <c r="W291" s="850"/>
      <c r="X291" s="850"/>
      <c r="Y291" s="850"/>
      <c r="Z291" s="850"/>
      <c r="AA291" s="850"/>
      <c r="AB291" s="850"/>
      <c r="AC291" s="850"/>
      <c r="AD291" s="850"/>
      <c r="AE291" s="850"/>
      <c r="AF291" s="835"/>
    </row>
    <row r="292" spans="1:32" ht="21">
      <c r="A292" s="827" t="s">
        <v>85</v>
      </c>
      <c r="B292" s="828" t="s">
        <v>4022</v>
      </c>
      <c r="C292" s="828" t="s">
        <v>86</v>
      </c>
      <c r="D292" s="829" t="s">
        <v>87</v>
      </c>
      <c r="E292" s="830" t="s">
        <v>4794</v>
      </c>
      <c r="F292" s="830" t="s">
        <v>4794</v>
      </c>
      <c r="G292" s="830" t="s">
        <v>4794</v>
      </c>
      <c r="H292" s="830" t="s">
        <v>4794</v>
      </c>
      <c r="I292" s="831">
        <v>1</v>
      </c>
      <c r="J292" s="830" t="s">
        <v>4794</v>
      </c>
      <c r="K292" s="831">
        <v>2</v>
      </c>
      <c r="L292" s="830" t="s">
        <v>4794</v>
      </c>
      <c r="M292" s="830" t="s">
        <v>4794</v>
      </c>
      <c r="N292" s="830" t="s">
        <v>4794</v>
      </c>
      <c r="O292" s="830" t="s">
        <v>4794</v>
      </c>
      <c r="P292" s="830" t="s">
        <v>4794</v>
      </c>
      <c r="Q292" s="832">
        <f t="shared" si="3"/>
        <v>3</v>
      </c>
      <c r="R292" s="833" t="s">
        <v>4025</v>
      </c>
      <c r="S292" s="834"/>
      <c r="T292" s="850"/>
      <c r="U292" s="850"/>
      <c r="V292" s="850"/>
      <c r="W292" s="850"/>
      <c r="X292" s="850"/>
      <c r="Y292" s="850"/>
      <c r="Z292" s="850"/>
      <c r="AA292" s="850"/>
      <c r="AB292" s="850"/>
      <c r="AC292" s="850"/>
      <c r="AD292" s="850"/>
      <c r="AE292" s="850"/>
      <c r="AF292" s="835"/>
    </row>
    <row r="293" spans="1:32" ht="31.5">
      <c r="A293" s="827" t="s">
        <v>88</v>
      </c>
      <c r="B293" s="828" t="s">
        <v>4022</v>
      </c>
      <c r="C293" s="828" t="s">
        <v>89</v>
      </c>
      <c r="D293" s="829" t="s">
        <v>90</v>
      </c>
      <c r="E293" s="830" t="s">
        <v>4794</v>
      </c>
      <c r="F293" s="830" t="s">
        <v>4794</v>
      </c>
      <c r="G293" s="830"/>
      <c r="H293" s="831">
        <v>2</v>
      </c>
      <c r="I293" s="830"/>
      <c r="J293" s="831">
        <v>2</v>
      </c>
      <c r="K293" s="830" t="s">
        <v>4794</v>
      </c>
      <c r="L293" s="831">
        <v>2</v>
      </c>
      <c r="M293" s="831">
        <v>1</v>
      </c>
      <c r="N293" s="831">
        <v>2</v>
      </c>
      <c r="O293" s="831">
        <v>1</v>
      </c>
      <c r="P293" s="830"/>
      <c r="Q293" s="832">
        <f t="shared" si="3"/>
        <v>10</v>
      </c>
      <c r="R293" s="833" t="s">
        <v>4025</v>
      </c>
      <c r="S293" s="834"/>
      <c r="T293" s="850"/>
      <c r="U293" s="850"/>
      <c r="V293" s="850"/>
      <c r="W293" s="850"/>
      <c r="X293" s="850"/>
      <c r="Y293" s="850"/>
      <c r="Z293" s="850"/>
      <c r="AA293" s="850"/>
      <c r="AB293" s="850"/>
      <c r="AC293" s="850"/>
      <c r="AD293" s="850"/>
      <c r="AE293" s="850"/>
      <c r="AF293" s="835"/>
    </row>
    <row r="294" spans="1:32" ht="42">
      <c r="A294" s="827" t="s">
        <v>91</v>
      </c>
      <c r="B294" s="828" t="s">
        <v>4022</v>
      </c>
      <c r="C294" s="828" t="s">
        <v>92</v>
      </c>
      <c r="D294" s="829" t="s">
        <v>93</v>
      </c>
      <c r="E294" s="830" t="s">
        <v>4794</v>
      </c>
      <c r="F294" s="830"/>
      <c r="G294" s="830" t="s">
        <v>4794</v>
      </c>
      <c r="H294" s="830"/>
      <c r="I294" s="831">
        <v>5</v>
      </c>
      <c r="J294" s="830" t="s">
        <v>4794</v>
      </c>
      <c r="K294" s="831">
        <v>5</v>
      </c>
      <c r="L294" s="830" t="s">
        <v>4794</v>
      </c>
      <c r="M294" s="831">
        <v>2</v>
      </c>
      <c r="N294" s="830" t="s">
        <v>4794</v>
      </c>
      <c r="O294" s="830"/>
      <c r="P294" s="830" t="s">
        <v>4794</v>
      </c>
      <c r="Q294" s="832">
        <f t="shared" ref="Q294:Q358" si="4">SUM(E294:P294)</f>
        <v>12</v>
      </c>
      <c r="R294" s="833" t="s">
        <v>4025</v>
      </c>
      <c r="S294" s="834"/>
      <c r="T294" s="850"/>
      <c r="U294" s="850"/>
      <c r="V294" s="850"/>
      <c r="W294" s="850"/>
      <c r="X294" s="850"/>
      <c r="Y294" s="850"/>
      <c r="Z294" s="850"/>
      <c r="AA294" s="850"/>
      <c r="AB294" s="850"/>
      <c r="AC294" s="850"/>
      <c r="AD294" s="850"/>
      <c r="AE294" s="850"/>
      <c r="AF294" s="835"/>
    </row>
    <row r="295" spans="1:32" ht="31.5">
      <c r="A295" s="827" t="s">
        <v>94</v>
      </c>
      <c r="B295" s="828" t="s">
        <v>4022</v>
      </c>
      <c r="C295" s="828" t="s">
        <v>95</v>
      </c>
      <c r="D295" s="829" t="s">
        <v>96</v>
      </c>
      <c r="E295" s="830" t="s">
        <v>4794</v>
      </c>
      <c r="F295" s="830" t="s">
        <v>4794</v>
      </c>
      <c r="G295" s="830"/>
      <c r="H295" s="830"/>
      <c r="I295" s="831">
        <v>5</v>
      </c>
      <c r="J295" s="830"/>
      <c r="K295" s="830"/>
      <c r="L295" s="831">
        <v>2</v>
      </c>
      <c r="M295" s="830"/>
      <c r="N295" s="831">
        <v>2</v>
      </c>
      <c r="O295" s="831">
        <v>1</v>
      </c>
      <c r="P295" s="830"/>
      <c r="Q295" s="832">
        <f t="shared" si="4"/>
        <v>10</v>
      </c>
      <c r="R295" s="833" t="s">
        <v>4025</v>
      </c>
      <c r="S295" s="834"/>
      <c r="T295" s="850"/>
      <c r="U295" s="850"/>
      <c r="V295" s="850"/>
      <c r="W295" s="850"/>
      <c r="X295" s="850"/>
      <c r="Y295" s="850"/>
      <c r="Z295" s="850"/>
      <c r="AA295" s="850"/>
      <c r="AB295" s="850"/>
      <c r="AC295" s="850"/>
      <c r="AD295" s="850"/>
      <c r="AE295" s="850"/>
      <c r="AF295" s="835"/>
    </row>
    <row r="296" spans="1:32" ht="42.75" thickBot="1">
      <c r="A296" s="838" t="s">
        <v>97</v>
      </c>
      <c r="B296" s="839" t="s">
        <v>4022</v>
      </c>
      <c r="C296" s="839" t="s">
        <v>98</v>
      </c>
      <c r="D296" s="840" t="s">
        <v>99</v>
      </c>
      <c r="E296" s="841" t="s">
        <v>4794</v>
      </c>
      <c r="F296" s="841"/>
      <c r="G296" s="841" t="s">
        <v>4794</v>
      </c>
      <c r="H296" s="841"/>
      <c r="I296" s="841"/>
      <c r="J296" s="842">
        <v>5</v>
      </c>
      <c r="K296" s="841"/>
      <c r="L296" s="841"/>
      <c r="M296" s="841"/>
      <c r="N296" s="841"/>
      <c r="O296" s="842">
        <v>5</v>
      </c>
      <c r="P296" s="841"/>
      <c r="Q296" s="843">
        <f t="shared" si="4"/>
        <v>10</v>
      </c>
      <c r="R296" s="844" t="s">
        <v>4025</v>
      </c>
      <c r="S296" s="834"/>
      <c r="T296" s="850"/>
      <c r="U296" s="850"/>
      <c r="V296" s="850"/>
      <c r="W296" s="850"/>
      <c r="X296" s="850"/>
      <c r="Y296" s="850"/>
      <c r="Z296" s="850"/>
      <c r="AA296" s="850"/>
      <c r="AB296" s="850"/>
      <c r="AC296" s="850"/>
      <c r="AD296" s="850"/>
      <c r="AE296" s="850"/>
      <c r="AF296" s="835"/>
    </row>
    <row r="297" spans="1:32" ht="21.75" thickBot="1">
      <c r="A297" s="860"/>
      <c r="B297" s="846"/>
      <c r="C297" s="846"/>
      <c r="D297" s="847" t="s">
        <v>4020</v>
      </c>
      <c r="E297" s="848"/>
      <c r="F297" s="848"/>
      <c r="G297" s="848"/>
      <c r="H297" s="848"/>
      <c r="I297" s="848"/>
      <c r="J297" s="848"/>
      <c r="K297" s="848"/>
      <c r="L297" s="848"/>
      <c r="M297" s="848"/>
      <c r="N297" s="848"/>
      <c r="O297" s="848"/>
      <c r="P297" s="848"/>
      <c r="Q297" s="849">
        <f t="shared" si="4"/>
        <v>0</v>
      </c>
      <c r="R297" s="845"/>
      <c r="S297" s="834"/>
      <c r="T297" s="850"/>
      <c r="U297" s="850"/>
      <c r="V297" s="850"/>
      <c r="W297" s="850"/>
      <c r="X297" s="850"/>
      <c r="Y297" s="850"/>
      <c r="Z297" s="850"/>
      <c r="AA297" s="850"/>
      <c r="AB297" s="850"/>
      <c r="AC297" s="850"/>
      <c r="AD297" s="850"/>
      <c r="AE297" s="850"/>
      <c r="AF297" s="835"/>
    </row>
    <row r="298" spans="1:32" ht="21">
      <c r="A298" s="818">
        <v>275</v>
      </c>
      <c r="B298" s="819" t="s">
        <v>100</v>
      </c>
      <c r="C298" s="819" t="s">
        <v>101</v>
      </c>
      <c r="D298" s="820" t="s">
        <v>102</v>
      </c>
      <c r="E298" s="822">
        <v>5</v>
      </c>
      <c r="F298" s="821" t="s">
        <v>4794</v>
      </c>
      <c r="G298" s="821" t="s">
        <v>4794</v>
      </c>
      <c r="H298" s="822">
        <v>5</v>
      </c>
      <c r="I298" s="821" t="s">
        <v>4794</v>
      </c>
      <c r="J298" s="821" t="s">
        <v>4794</v>
      </c>
      <c r="K298" s="821" t="s">
        <v>4794</v>
      </c>
      <c r="L298" s="822">
        <v>5</v>
      </c>
      <c r="M298" s="821" t="s">
        <v>4794</v>
      </c>
      <c r="N298" s="821" t="s">
        <v>4794</v>
      </c>
      <c r="O298" s="821" t="s">
        <v>4794</v>
      </c>
      <c r="P298" s="821" t="s">
        <v>4794</v>
      </c>
      <c r="Q298" s="823">
        <f t="shared" si="4"/>
        <v>15</v>
      </c>
      <c r="R298" s="824" t="s">
        <v>3714</v>
      </c>
      <c r="S298" s="834"/>
      <c r="T298" s="850"/>
      <c r="U298" s="850"/>
      <c r="V298" s="850"/>
      <c r="W298" s="850"/>
      <c r="X298" s="850"/>
      <c r="Y298" s="850"/>
      <c r="Z298" s="850"/>
      <c r="AA298" s="850"/>
      <c r="AB298" s="850"/>
      <c r="AC298" s="850"/>
      <c r="AD298" s="850"/>
      <c r="AE298" s="850"/>
      <c r="AF298" s="835"/>
    </row>
    <row r="299" spans="1:32" ht="21">
      <c r="A299" s="827">
        <v>276</v>
      </c>
      <c r="B299" s="828" t="s">
        <v>100</v>
      </c>
      <c r="C299" s="828" t="s">
        <v>103</v>
      </c>
      <c r="D299" s="829" t="s">
        <v>104</v>
      </c>
      <c r="E299" s="830" t="s">
        <v>4794</v>
      </c>
      <c r="F299" s="830" t="s">
        <v>4794</v>
      </c>
      <c r="G299" s="831">
        <v>5</v>
      </c>
      <c r="H299" s="830" t="s">
        <v>4794</v>
      </c>
      <c r="I299" s="830" t="s">
        <v>4794</v>
      </c>
      <c r="J299" s="831">
        <v>5</v>
      </c>
      <c r="K299" s="830" t="s">
        <v>4794</v>
      </c>
      <c r="L299" s="830" t="s">
        <v>4794</v>
      </c>
      <c r="M299" s="830" t="s">
        <v>4794</v>
      </c>
      <c r="N299" s="830" t="s">
        <v>4794</v>
      </c>
      <c r="O299" s="830" t="s">
        <v>4794</v>
      </c>
      <c r="P299" s="830" t="s">
        <v>4794</v>
      </c>
      <c r="Q299" s="832">
        <f t="shared" si="4"/>
        <v>10</v>
      </c>
      <c r="R299" s="833" t="s">
        <v>3714</v>
      </c>
      <c r="S299" s="834"/>
      <c r="T299" s="850"/>
      <c r="U299" s="850"/>
      <c r="V299" s="850"/>
      <c r="W299" s="850"/>
      <c r="X299" s="850"/>
      <c r="Y299" s="850"/>
      <c r="Z299" s="850"/>
      <c r="AA299" s="850"/>
      <c r="AB299" s="850"/>
      <c r="AC299" s="850"/>
      <c r="AD299" s="850"/>
      <c r="AE299" s="850"/>
      <c r="AF299" s="835"/>
    </row>
    <row r="300" spans="1:32" ht="21">
      <c r="A300" s="827">
        <v>277</v>
      </c>
      <c r="B300" s="828" t="s">
        <v>100</v>
      </c>
      <c r="C300" s="828" t="s">
        <v>105</v>
      </c>
      <c r="D300" s="829" t="s">
        <v>106</v>
      </c>
      <c r="E300" s="830" t="s">
        <v>4794</v>
      </c>
      <c r="F300" s="830"/>
      <c r="G300" s="830" t="s">
        <v>4794</v>
      </c>
      <c r="H300" s="830" t="s">
        <v>4794</v>
      </c>
      <c r="I300" s="830" t="s">
        <v>4794</v>
      </c>
      <c r="J300" s="830" t="s">
        <v>4794</v>
      </c>
      <c r="K300" s="830" t="s">
        <v>4794</v>
      </c>
      <c r="L300" s="830" t="s">
        <v>4794</v>
      </c>
      <c r="M300" s="830" t="s">
        <v>4794</v>
      </c>
      <c r="N300" s="831">
        <v>5</v>
      </c>
      <c r="O300" s="830" t="s">
        <v>4794</v>
      </c>
      <c r="P300" s="830" t="s">
        <v>4794</v>
      </c>
      <c r="Q300" s="832">
        <f t="shared" si="4"/>
        <v>5</v>
      </c>
      <c r="R300" s="833" t="s">
        <v>3714</v>
      </c>
      <c r="S300" s="834"/>
      <c r="T300" s="850"/>
      <c r="U300" s="850"/>
      <c r="V300" s="850"/>
      <c r="W300" s="850"/>
      <c r="X300" s="850"/>
      <c r="Y300" s="850"/>
      <c r="Z300" s="850"/>
      <c r="AA300" s="850"/>
      <c r="AB300" s="850"/>
      <c r="AC300" s="850"/>
      <c r="AD300" s="850"/>
      <c r="AE300" s="850"/>
      <c r="AF300" s="835"/>
    </row>
    <row r="301" spans="1:32" ht="21">
      <c r="A301" s="827">
        <v>278</v>
      </c>
      <c r="B301" s="828" t="s">
        <v>100</v>
      </c>
      <c r="C301" s="828" t="s">
        <v>107</v>
      </c>
      <c r="D301" s="829" t="s">
        <v>108</v>
      </c>
      <c r="E301" s="831">
        <v>5</v>
      </c>
      <c r="F301" s="830" t="s">
        <v>4794</v>
      </c>
      <c r="G301" s="830" t="s">
        <v>4794</v>
      </c>
      <c r="H301" s="831">
        <v>5</v>
      </c>
      <c r="I301" s="830" t="s">
        <v>4794</v>
      </c>
      <c r="J301" s="831">
        <v>5</v>
      </c>
      <c r="K301" s="830" t="s">
        <v>4794</v>
      </c>
      <c r="L301" s="830" t="s">
        <v>4794</v>
      </c>
      <c r="M301" s="830" t="s">
        <v>4794</v>
      </c>
      <c r="N301" s="830" t="s">
        <v>4794</v>
      </c>
      <c r="O301" s="830" t="s">
        <v>4794</v>
      </c>
      <c r="P301" s="830" t="s">
        <v>4794</v>
      </c>
      <c r="Q301" s="832">
        <f t="shared" si="4"/>
        <v>15</v>
      </c>
      <c r="R301" s="833" t="s">
        <v>3714</v>
      </c>
      <c r="S301" s="834"/>
      <c r="T301" s="850"/>
      <c r="U301" s="850"/>
      <c r="V301" s="850"/>
      <c r="W301" s="850"/>
      <c r="X301" s="850"/>
      <c r="Y301" s="850"/>
      <c r="Z301" s="850"/>
      <c r="AA301" s="850"/>
      <c r="AB301" s="850"/>
      <c r="AC301" s="850"/>
      <c r="AD301" s="850"/>
      <c r="AE301" s="850"/>
      <c r="AF301" s="835"/>
    </row>
    <row r="302" spans="1:32" ht="21">
      <c r="A302" s="827">
        <v>279</v>
      </c>
      <c r="B302" s="828" t="s">
        <v>100</v>
      </c>
      <c r="C302" s="828" t="s">
        <v>109</v>
      </c>
      <c r="D302" s="829" t="s">
        <v>110</v>
      </c>
      <c r="E302" s="830"/>
      <c r="F302" s="830" t="s">
        <v>4794</v>
      </c>
      <c r="G302" s="830" t="s">
        <v>4794</v>
      </c>
      <c r="H302" s="830" t="s">
        <v>4794</v>
      </c>
      <c r="I302" s="830" t="s">
        <v>4794</v>
      </c>
      <c r="J302" s="830" t="s">
        <v>4794</v>
      </c>
      <c r="K302" s="830" t="s">
        <v>4794</v>
      </c>
      <c r="L302" s="831">
        <v>5</v>
      </c>
      <c r="M302" s="830" t="s">
        <v>4794</v>
      </c>
      <c r="N302" s="830" t="s">
        <v>4794</v>
      </c>
      <c r="O302" s="830" t="s">
        <v>4794</v>
      </c>
      <c r="P302" s="830" t="s">
        <v>4794</v>
      </c>
      <c r="Q302" s="832">
        <f t="shared" si="4"/>
        <v>5</v>
      </c>
      <c r="R302" s="833" t="s">
        <v>3714</v>
      </c>
      <c r="S302" s="834"/>
      <c r="T302" s="850"/>
      <c r="U302" s="850"/>
      <c r="V302" s="850"/>
      <c r="W302" s="850"/>
      <c r="X302" s="850"/>
      <c r="Y302" s="850"/>
      <c r="Z302" s="850"/>
      <c r="AA302" s="850"/>
      <c r="AB302" s="850"/>
      <c r="AC302" s="850"/>
      <c r="AD302" s="850"/>
      <c r="AE302" s="850"/>
      <c r="AF302" s="835"/>
    </row>
    <row r="303" spans="1:32" ht="21">
      <c r="A303" s="827">
        <v>280</v>
      </c>
      <c r="B303" s="828" t="s">
        <v>100</v>
      </c>
      <c r="C303" s="828" t="s">
        <v>111</v>
      </c>
      <c r="D303" s="829" t="s">
        <v>112</v>
      </c>
      <c r="E303" s="830"/>
      <c r="F303" s="830" t="s">
        <v>4794</v>
      </c>
      <c r="G303" s="830" t="s">
        <v>4794</v>
      </c>
      <c r="H303" s="830" t="s">
        <v>4794</v>
      </c>
      <c r="I303" s="830" t="s">
        <v>4794</v>
      </c>
      <c r="J303" s="830" t="s">
        <v>4794</v>
      </c>
      <c r="K303" s="830" t="s">
        <v>4794</v>
      </c>
      <c r="L303" s="830" t="s">
        <v>4794</v>
      </c>
      <c r="M303" s="831">
        <v>5</v>
      </c>
      <c r="N303" s="830" t="s">
        <v>4794</v>
      </c>
      <c r="O303" s="830" t="s">
        <v>4794</v>
      </c>
      <c r="P303" s="831">
        <v>5</v>
      </c>
      <c r="Q303" s="832">
        <f t="shared" si="4"/>
        <v>10</v>
      </c>
      <c r="R303" s="833" t="s">
        <v>3714</v>
      </c>
      <c r="S303" s="834"/>
      <c r="T303" s="850"/>
      <c r="U303" s="850"/>
      <c r="V303" s="850"/>
      <c r="W303" s="850"/>
      <c r="X303" s="850"/>
      <c r="Y303" s="850"/>
      <c r="Z303" s="850"/>
      <c r="AA303" s="850"/>
      <c r="AB303" s="850"/>
      <c r="AC303" s="850"/>
      <c r="AD303" s="850"/>
      <c r="AE303" s="850"/>
      <c r="AF303" s="835"/>
    </row>
    <row r="304" spans="1:32" ht="21">
      <c r="A304" s="827">
        <v>281</v>
      </c>
      <c r="B304" s="828" t="s">
        <v>100</v>
      </c>
      <c r="C304" s="828" t="s">
        <v>113</v>
      </c>
      <c r="D304" s="829" t="s">
        <v>114</v>
      </c>
      <c r="E304" s="831">
        <v>5</v>
      </c>
      <c r="F304" s="830" t="s">
        <v>4794</v>
      </c>
      <c r="G304" s="830" t="s">
        <v>4794</v>
      </c>
      <c r="H304" s="830" t="s">
        <v>4794</v>
      </c>
      <c r="I304" s="830" t="s">
        <v>4794</v>
      </c>
      <c r="J304" s="830" t="s">
        <v>4794</v>
      </c>
      <c r="K304" s="830" t="s">
        <v>4794</v>
      </c>
      <c r="L304" s="830" t="s">
        <v>4794</v>
      </c>
      <c r="M304" s="831">
        <v>5</v>
      </c>
      <c r="N304" s="830" t="s">
        <v>4794</v>
      </c>
      <c r="O304" s="830" t="s">
        <v>4794</v>
      </c>
      <c r="P304" s="830" t="s">
        <v>4794</v>
      </c>
      <c r="Q304" s="832">
        <f t="shared" si="4"/>
        <v>10</v>
      </c>
      <c r="R304" s="833" t="s">
        <v>3714</v>
      </c>
      <c r="S304" s="834"/>
      <c r="T304" s="850"/>
      <c r="U304" s="850"/>
      <c r="V304" s="850"/>
      <c r="W304" s="850"/>
      <c r="X304" s="850"/>
      <c r="Y304" s="850"/>
      <c r="Z304" s="850"/>
      <c r="AA304" s="850"/>
      <c r="AB304" s="850"/>
      <c r="AC304" s="850"/>
      <c r="AD304" s="850"/>
      <c r="AE304" s="850"/>
      <c r="AF304" s="835"/>
    </row>
    <row r="305" spans="1:32" ht="21">
      <c r="A305" s="827">
        <v>282</v>
      </c>
      <c r="B305" s="828" t="s">
        <v>100</v>
      </c>
      <c r="C305" s="828" t="s">
        <v>115</v>
      </c>
      <c r="D305" s="829" t="s">
        <v>116</v>
      </c>
      <c r="E305" s="830"/>
      <c r="F305" s="830" t="s">
        <v>4794</v>
      </c>
      <c r="G305" s="830" t="s">
        <v>4794</v>
      </c>
      <c r="H305" s="830" t="s">
        <v>4794</v>
      </c>
      <c r="I305" s="831">
        <v>5</v>
      </c>
      <c r="J305" s="831">
        <v>5</v>
      </c>
      <c r="K305" s="831">
        <v>5</v>
      </c>
      <c r="L305" s="830" t="s">
        <v>4794</v>
      </c>
      <c r="M305" s="830" t="s">
        <v>4794</v>
      </c>
      <c r="N305" s="830" t="s">
        <v>4794</v>
      </c>
      <c r="O305" s="830" t="s">
        <v>4794</v>
      </c>
      <c r="P305" s="830" t="s">
        <v>4794</v>
      </c>
      <c r="Q305" s="832">
        <f t="shared" si="4"/>
        <v>15</v>
      </c>
      <c r="R305" s="833" t="s">
        <v>3714</v>
      </c>
      <c r="S305" s="834"/>
      <c r="T305" s="850"/>
      <c r="U305" s="850"/>
      <c r="V305" s="850"/>
      <c r="W305" s="850"/>
      <c r="X305" s="850"/>
      <c r="Y305" s="850"/>
      <c r="Z305" s="850"/>
      <c r="AA305" s="850"/>
      <c r="AB305" s="850"/>
      <c r="AC305" s="850"/>
      <c r="AD305" s="850"/>
      <c r="AE305" s="850"/>
      <c r="AF305" s="835"/>
    </row>
    <row r="306" spans="1:32" ht="21">
      <c r="A306" s="827">
        <v>283</v>
      </c>
      <c r="B306" s="828" t="s">
        <v>100</v>
      </c>
      <c r="C306" s="828" t="s">
        <v>117</v>
      </c>
      <c r="D306" s="829" t="s">
        <v>118</v>
      </c>
      <c r="E306" s="831">
        <v>5</v>
      </c>
      <c r="F306" s="830" t="s">
        <v>4794</v>
      </c>
      <c r="G306" s="830" t="s">
        <v>4794</v>
      </c>
      <c r="H306" s="831">
        <v>5</v>
      </c>
      <c r="I306" s="830" t="s">
        <v>4794</v>
      </c>
      <c r="J306" s="830" t="s">
        <v>4794</v>
      </c>
      <c r="K306" s="830" t="s">
        <v>4794</v>
      </c>
      <c r="L306" s="830" t="s">
        <v>4794</v>
      </c>
      <c r="M306" s="830" t="s">
        <v>4794</v>
      </c>
      <c r="N306" s="831">
        <v>5</v>
      </c>
      <c r="O306" s="830" t="s">
        <v>4794</v>
      </c>
      <c r="P306" s="830" t="s">
        <v>4794</v>
      </c>
      <c r="Q306" s="832">
        <f t="shared" si="4"/>
        <v>15</v>
      </c>
      <c r="R306" s="833" t="s">
        <v>3714</v>
      </c>
      <c r="S306" s="834"/>
      <c r="T306" s="850"/>
      <c r="U306" s="850"/>
      <c r="V306" s="850"/>
      <c r="W306" s="850"/>
      <c r="X306" s="850"/>
      <c r="Y306" s="850"/>
      <c r="Z306" s="850"/>
      <c r="AA306" s="850"/>
      <c r="AB306" s="850"/>
      <c r="AC306" s="850"/>
      <c r="AD306" s="850"/>
      <c r="AE306" s="850"/>
      <c r="AF306" s="835"/>
    </row>
    <row r="307" spans="1:32" ht="21">
      <c r="A307" s="827">
        <v>284</v>
      </c>
      <c r="B307" s="828" t="s">
        <v>100</v>
      </c>
      <c r="C307" s="828" t="s">
        <v>119</v>
      </c>
      <c r="D307" s="829" t="s">
        <v>120</v>
      </c>
      <c r="E307" s="830" t="s">
        <v>4794</v>
      </c>
      <c r="F307" s="830" t="s">
        <v>4794</v>
      </c>
      <c r="G307" s="831">
        <v>5</v>
      </c>
      <c r="H307" s="830" t="s">
        <v>4794</v>
      </c>
      <c r="I307" s="830" t="s">
        <v>4794</v>
      </c>
      <c r="J307" s="831">
        <v>5</v>
      </c>
      <c r="K307" s="830" t="s">
        <v>4794</v>
      </c>
      <c r="L307" s="830" t="s">
        <v>4794</v>
      </c>
      <c r="M307" s="830" t="s">
        <v>4794</v>
      </c>
      <c r="N307" s="830" t="s">
        <v>4794</v>
      </c>
      <c r="O307" s="830" t="s">
        <v>4794</v>
      </c>
      <c r="P307" s="830"/>
      <c r="Q307" s="832">
        <f t="shared" si="4"/>
        <v>10</v>
      </c>
      <c r="R307" s="833" t="s">
        <v>3714</v>
      </c>
      <c r="S307" s="834"/>
      <c r="T307" s="850"/>
      <c r="U307" s="850"/>
      <c r="V307" s="850"/>
      <c r="W307" s="850"/>
      <c r="X307" s="850"/>
      <c r="Y307" s="850"/>
      <c r="Z307" s="850"/>
      <c r="AA307" s="850"/>
      <c r="AB307" s="850"/>
      <c r="AC307" s="850"/>
      <c r="AD307" s="850"/>
      <c r="AE307" s="850"/>
      <c r="AF307" s="835"/>
    </row>
    <row r="308" spans="1:32" ht="42">
      <c r="A308" s="827">
        <v>285</v>
      </c>
      <c r="B308" s="828" t="s">
        <v>100</v>
      </c>
      <c r="C308" s="828" t="s">
        <v>121</v>
      </c>
      <c r="D308" s="829" t="s">
        <v>122</v>
      </c>
      <c r="E308" s="830"/>
      <c r="F308" s="830" t="s">
        <v>4794</v>
      </c>
      <c r="G308" s="830" t="s">
        <v>4794</v>
      </c>
      <c r="H308" s="830" t="s">
        <v>4794</v>
      </c>
      <c r="I308" s="830" t="s">
        <v>4794</v>
      </c>
      <c r="J308" s="830" t="s">
        <v>4794</v>
      </c>
      <c r="K308" s="830" t="s">
        <v>4794</v>
      </c>
      <c r="L308" s="830" t="s">
        <v>4794</v>
      </c>
      <c r="M308" s="831">
        <v>5</v>
      </c>
      <c r="N308" s="830"/>
      <c r="O308" s="830" t="s">
        <v>4794</v>
      </c>
      <c r="P308" s="830" t="s">
        <v>4794</v>
      </c>
      <c r="Q308" s="832">
        <f t="shared" si="4"/>
        <v>5</v>
      </c>
      <c r="R308" s="833" t="s">
        <v>3714</v>
      </c>
      <c r="S308" s="834"/>
      <c r="T308" s="850"/>
      <c r="U308" s="850"/>
      <c r="V308" s="850"/>
      <c r="W308" s="850"/>
      <c r="X308" s="850"/>
      <c r="Y308" s="850"/>
      <c r="Z308" s="850"/>
      <c r="AA308" s="850"/>
      <c r="AB308" s="850"/>
      <c r="AC308" s="850"/>
      <c r="AD308" s="850"/>
      <c r="AE308" s="850"/>
      <c r="AF308" s="835"/>
    </row>
    <row r="309" spans="1:32" ht="21">
      <c r="A309" s="827">
        <v>286</v>
      </c>
      <c r="B309" s="828" t="s">
        <v>100</v>
      </c>
      <c r="C309" s="828" t="s">
        <v>123</v>
      </c>
      <c r="D309" s="829" t="s">
        <v>124</v>
      </c>
      <c r="E309" s="830" t="s">
        <v>4794</v>
      </c>
      <c r="F309" s="831">
        <v>5</v>
      </c>
      <c r="G309" s="830" t="s">
        <v>4794</v>
      </c>
      <c r="H309" s="830" t="s">
        <v>4794</v>
      </c>
      <c r="I309" s="830" t="s">
        <v>4794</v>
      </c>
      <c r="J309" s="830" t="s">
        <v>4794</v>
      </c>
      <c r="K309" s="830" t="s">
        <v>4794</v>
      </c>
      <c r="L309" s="830" t="s">
        <v>4794</v>
      </c>
      <c r="M309" s="830"/>
      <c r="N309" s="830" t="s">
        <v>4794</v>
      </c>
      <c r="O309" s="830" t="s">
        <v>4794</v>
      </c>
      <c r="P309" s="831">
        <v>5</v>
      </c>
      <c r="Q309" s="832">
        <f t="shared" si="4"/>
        <v>10</v>
      </c>
      <c r="R309" s="833" t="s">
        <v>3714</v>
      </c>
      <c r="S309" s="834"/>
      <c r="T309" s="850"/>
      <c r="U309" s="850"/>
      <c r="V309" s="850"/>
      <c r="W309" s="850"/>
      <c r="X309" s="850"/>
      <c r="Y309" s="850"/>
      <c r="Z309" s="850"/>
      <c r="AA309" s="850"/>
      <c r="AB309" s="850"/>
      <c r="AC309" s="850"/>
      <c r="AD309" s="850"/>
      <c r="AE309" s="850"/>
      <c r="AF309" s="835"/>
    </row>
    <row r="310" spans="1:32" ht="21">
      <c r="A310" s="827">
        <v>287</v>
      </c>
      <c r="B310" s="828" t="s">
        <v>100</v>
      </c>
      <c r="C310" s="828" t="s">
        <v>125</v>
      </c>
      <c r="D310" s="829" t="s">
        <v>126</v>
      </c>
      <c r="E310" s="831">
        <v>5</v>
      </c>
      <c r="F310" s="830" t="s">
        <v>4794</v>
      </c>
      <c r="G310" s="831">
        <v>10</v>
      </c>
      <c r="H310" s="830" t="s">
        <v>4794</v>
      </c>
      <c r="I310" s="830" t="s">
        <v>4794</v>
      </c>
      <c r="J310" s="830" t="s">
        <v>4794</v>
      </c>
      <c r="K310" s="830" t="s">
        <v>4794</v>
      </c>
      <c r="L310" s="830" t="s">
        <v>4794</v>
      </c>
      <c r="M310" s="830" t="s">
        <v>4794</v>
      </c>
      <c r="N310" s="830" t="s">
        <v>4794</v>
      </c>
      <c r="O310" s="830" t="s">
        <v>4794</v>
      </c>
      <c r="P310" s="830"/>
      <c r="Q310" s="832">
        <f t="shared" si="4"/>
        <v>15</v>
      </c>
      <c r="R310" s="833" t="s">
        <v>3714</v>
      </c>
      <c r="S310" s="834"/>
      <c r="T310" s="850"/>
      <c r="U310" s="850"/>
      <c r="V310" s="850"/>
      <c r="W310" s="850"/>
      <c r="X310" s="850"/>
      <c r="Y310" s="850"/>
      <c r="Z310" s="850"/>
      <c r="AA310" s="850"/>
      <c r="AB310" s="850"/>
      <c r="AC310" s="850"/>
      <c r="AD310" s="850"/>
      <c r="AE310" s="850"/>
      <c r="AF310" s="835"/>
    </row>
    <row r="311" spans="1:32" ht="21">
      <c r="A311" s="827">
        <v>288</v>
      </c>
      <c r="B311" s="828" t="s">
        <v>100</v>
      </c>
      <c r="C311" s="828" t="s">
        <v>127</v>
      </c>
      <c r="D311" s="829" t="s">
        <v>128</v>
      </c>
      <c r="E311" s="830" t="s">
        <v>4794</v>
      </c>
      <c r="F311" s="830" t="s">
        <v>4794</v>
      </c>
      <c r="G311" s="830"/>
      <c r="H311" s="830" t="s">
        <v>4794</v>
      </c>
      <c r="I311" s="830" t="s">
        <v>4794</v>
      </c>
      <c r="J311" s="830" t="s">
        <v>4794</v>
      </c>
      <c r="K311" s="830" t="s">
        <v>4794</v>
      </c>
      <c r="L311" s="830" t="s">
        <v>4794</v>
      </c>
      <c r="M311" s="830" t="s">
        <v>4794</v>
      </c>
      <c r="N311" s="831">
        <v>10</v>
      </c>
      <c r="O311" s="830" t="s">
        <v>4794</v>
      </c>
      <c r="P311" s="830" t="s">
        <v>4794</v>
      </c>
      <c r="Q311" s="832">
        <f t="shared" si="4"/>
        <v>10</v>
      </c>
      <c r="R311" s="833" t="s">
        <v>3714</v>
      </c>
      <c r="S311" s="834"/>
      <c r="T311" s="850"/>
      <c r="U311" s="850"/>
      <c r="V311" s="850"/>
      <c r="W311" s="850"/>
      <c r="X311" s="850"/>
      <c r="Y311" s="850"/>
      <c r="Z311" s="850"/>
      <c r="AA311" s="850"/>
      <c r="AB311" s="850"/>
      <c r="AC311" s="850"/>
      <c r="AD311" s="850"/>
      <c r="AE311" s="850"/>
      <c r="AF311" s="835"/>
    </row>
    <row r="312" spans="1:32" ht="21">
      <c r="A312" s="827">
        <v>289</v>
      </c>
      <c r="B312" s="828" t="s">
        <v>100</v>
      </c>
      <c r="C312" s="828" t="s">
        <v>129</v>
      </c>
      <c r="D312" s="829" t="s">
        <v>130</v>
      </c>
      <c r="E312" s="830" t="s">
        <v>4794</v>
      </c>
      <c r="F312" s="830" t="s">
        <v>4794</v>
      </c>
      <c r="G312" s="830" t="s">
        <v>4794</v>
      </c>
      <c r="H312" s="830" t="s">
        <v>4794</v>
      </c>
      <c r="I312" s="831">
        <v>10</v>
      </c>
      <c r="J312" s="830" t="s">
        <v>4794</v>
      </c>
      <c r="K312" s="830" t="s">
        <v>4794</v>
      </c>
      <c r="L312" s="831">
        <v>10</v>
      </c>
      <c r="M312" s="830" t="s">
        <v>4794</v>
      </c>
      <c r="N312" s="830" t="s">
        <v>4794</v>
      </c>
      <c r="O312" s="830" t="s">
        <v>4794</v>
      </c>
      <c r="P312" s="830" t="s">
        <v>4794</v>
      </c>
      <c r="Q312" s="832">
        <f t="shared" si="4"/>
        <v>20</v>
      </c>
      <c r="R312" s="833" t="s">
        <v>3714</v>
      </c>
      <c r="S312" s="834"/>
      <c r="T312" s="850"/>
      <c r="U312" s="850"/>
      <c r="V312" s="850"/>
      <c r="W312" s="850"/>
      <c r="X312" s="850"/>
      <c r="Y312" s="850"/>
      <c r="Z312" s="850"/>
      <c r="AA312" s="850"/>
      <c r="AB312" s="850"/>
      <c r="AC312" s="850"/>
      <c r="AD312" s="850"/>
      <c r="AE312" s="850"/>
      <c r="AF312" s="835"/>
    </row>
    <row r="313" spans="1:32" ht="42">
      <c r="A313" s="827">
        <v>290</v>
      </c>
      <c r="B313" s="828" t="s">
        <v>100</v>
      </c>
      <c r="C313" s="828" t="s">
        <v>131</v>
      </c>
      <c r="D313" s="829" t="s">
        <v>132</v>
      </c>
      <c r="E313" s="830" t="s">
        <v>4794</v>
      </c>
      <c r="F313" s="830" t="s">
        <v>4794</v>
      </c>
      <c r="G313" s="830" t="s">
        <v>4794</v>
      </c>
      <c r="H313" s="830" t="s">
        <v>4794</v>
      </c>
      <c r="I313" s="830" t="s">
        <v>4794</v>
      </c>
      <c r="J313" s="830" t="s">
        <v>4794</v>
      </c>
      <c r="K313" s="831">
        <v>10</v>
      </c>
      <c r="L313" s="830" t="s">
        <v>4794</v>
      </c>
      <c r="M313" s="830" t="s">
        <v>4794</v>
      </c>
      <c r="N313" s="830" t="s">
        <v>4794</v>
      </c>
      <c r="O313" s="830" t="s">
        <v>4794</v>
      </c>
      <c r="P313" s="830"/>
      <c r="Q313" s="832">
        <f t="shared" si="4"/>
        <v>10</v>
      </c>
      <c r="R313" s="833" t="s">
        <v>3714</v>
      </c>
      <c r="S313" s="834"/>
      <c r="T313" s="850"/>
      <c r="U313" s="850"/>
      <c r="V313" s="850"/>
      <c r="W313" s="850"/>
      <c r="X313" s="850"/>
      <c r="Y313" s="850"/>
      <c r="Z313" s="850"/>
      <c r="AA313" s="850"/>
      <c r="AB313" s="850"/>
      <c r="AC313" s="850"/>
      <c r="AD313" s="850"/>
      <c r="AE313" s="850"/>
      <c r="AF313" s="835"/>
    </row>
    <row r="314" spans="1:32" ht="21">
      <c r="A314" s="827">
        <v>291</v>
      </c>
      <c r="B314" s="828" t="s">
        <v>100</v>
      </c>
      <c r="C314" s="828" t="s">
        <v>133</v>
      </c>
      <c r="D314" s="829" t="s">
        <v>134</v>
      </c>
      <c r="E314" s="831">
        <v>5</v>
      </c>
      <c r="F314" s="830" t="s">
        <v>4794</v>
      </c>
      <c r="G314" s="830" t="s">
        <v>4794</v>
      </c>
      <c r="H314" s="830" t="s">
        <v>4794</v>
      </c>
      <c r="I314" s="830" t="s">
        <v>4794</v>
      </c>
      <c r="J314" s="830" t="s">
        <v>4794</v>
      </c>
      <c r="K314" s="831">
        <v>10</v>
      </c>
      <c r="L314" s="830" t="s">
        <v>4794</v>
      </c>
      <c r="M314" s="830" t="s">
        <v>4794</v>
      </c>
      <c r="N314" s="831">
        <v>10</v>
      </c>
      <c r="O314" s="830" t="s">
        <v>4794</v>
      </c>
      <c r="P314" s="830" t="s">
        <v>4794</v>
      </c>
      <c r="Q314" s="832">
        <f t="shared" si="4"/>
        <v>25</v>
      </c>
      <c r="R314" s="833" t="s">
        <v>3714</v>
      </c>
      <c r="S314" s="834"/>
      <c r="T314" s="850"/>
      <c r="U314" s="850"/>
      <c r="V314" s="850"/>
      <c r="W314" s="850"/>
      <c r="X314" s="850"/>
      <c r="Y314" s="850"/>
      <c r="Z314" s="850"/>
      <c r="AA314" s="850"/>
      <c r="AB314" s="850"/>
      <c r="AC314" s="850"/>
      <c r="AD314" s="850"/>
      <c r="AE314" s="850"/>
      <c r="AF314" s="835"/>
    </row>
    <row r="315" spans="1:32" ht="21">
      <c r="A315" s="827">
        <v>292</v>
      </c>
      <c r="B315" s="828" t="s">
        <v>100</v>
      </c>
      <c r="C315" s="828" t="s">
        <v>135</v>
      </c>
      <c r="D315" s="829" t="s">
        <v>136</v>
      </c>
      <c r="E315" s="830" t="s">
        <v>4794</v>
      </c>
      <c r="F315" s="830" t="s">
        <v>4794</v>
      </c>
      <c r="G315" s="830" t="s">
        <v>4794</v>
      </c>
      <c r="H315" s="830" t="s">
        <v>4794</v>
      </c>
      <c r="I315" s="830" t="s">
        <v>4794</v>
      </c>
      <c r="J315" s="831">
        <v>10</v>
      </c>
      <c r="K315" s="830" t="s">
        <v>4794</v>
      </c>
      <c r="L315" s="830"/>
      <c r="M315" s="830" t="s">
        <v>4794</v>
      </c>
      <c r="N315" s="831">
        <v>10</v>
      </c>
      <c r="O315" s="830" t="s">
        <v>4794</v>
      </c>
      <c r="P315" s="830" t="s">
        <v>4794</v>
      </c>
      <c r="Q315" s="832">
        <f t="shared" si="4"/>
        <v>20</v>
      </c>
      <c r="R315" s="833" t="s">
        <v>3714</v>
      </c>
      <c r="S315" s="834"/>
      <c r="T315" s="850"/>
      <c r="U315" s="850"/>
      <c r="V315" s="850"/>
      <c r="W315" s="850"/>
      <c r="X315" s="850"/>
      <c r="Y315" s="850"/>
      <c r="Z315" s="850"/>
      <c r="AA315" s="850"/>
      <c r="AB315" s="850"/>
      <c r="AC315" s="850"/>
      <c r="AD315" s="850"/>
      <c r="AE315" s="850"/>
      <c r="AF315" s="835"/>
    </row>
    <row r="316" spans="1:32" ht="21">
      <c r="A316" s="827">
        <v>293</v>
      </c>
      <c r="B316" s="828" t="s">
        <v>100</v>
      </c>
      <c r="C316" s="828" t="s">
        <v>137</v>
      </c>
      <c r="D316" s="829" t="s">
        <v>138</v>
      </c>
      <c r="E316" s="830" t="s">
        <v>4794</v>
      </c>
      <c r="F316" s="830" t="s">
        <v>4794</v>
      </c>
      <c r="G316" s="830" t="s">
        <v>4794</v>
      </c>
      <c r="H316" s="831">
        <v>10</v>
      </c>
      <c r="I316" s="830" t="s">
        <v>4794</v>
      </c>
      <c r="J316" s="830" t="s">
        <v>4794</v>
      </c>
      <c r="K316" s="830" t="s">
        <v>4794</v>
      </c>
      <c r="L316" s="830"/>
      <c r="M316" s="830" t="s">
        <v>4794</v>
      </c>
      <c r="N316" s="830" t="s">
        <v>4794</v>
      </c>
      <c r="O316" s="830" t="s">
        <v>4794</v>
      </c>
      <c r="P316" s="830"/>
      <c r="Q316" s="832">
        <f t="shared" si="4"/>
        <v>10</v>
      </c>
      <c r="R316" s="833" t="s">
        <v>3714</v>
      </c>
      <c r="S316" s="834"/>
      <c r="T316" s="850"/>
      <c r="U316" s="850"/>
      <c r="V316" s="850"/>
      <c r="W316" s="850"/>
      <c r="X316" s="850"/>
      <c r="Y316" s="850"/>
      <c r="Z316" s="850"/>
      <c r="AA316" s="850"/>
      <c r="AB316" s="850"/>
      <c r="AC316" s="850"/>
      <c r="AD316" s="850"/>
      <c r="AE316" s="850"/>
      <c r="AF316" s="835"/>
    </row>
    <row r="317" spans="1:32" ht="21">
      <c r="A317" s="827">
        <v>294</v>
      </c>
      <c r="B317" s="828" t="s">
        <v>100</v>
      </c>
      <c r="C317" s="828" t="s">
        <v>139</v>
      </c>
      <c r="D317" s="829" t="s">
        <v>140</v>
      </c>
      <c r="E317" s="831">
        <v>5</v>
      </c>
      <c r="F317" s="830" t="s">
        <v>4794</v>
      </c>
      <c r="G317" s="830"/>
      <c r="H317" s="830" t="s">
        <v>4794</v>
      </c>
      <c r="I317" s="830"/>
      <c r="J317" s="830" t="s">
        <v>4794</v>
      </c>
      <c r="K317" s="831">
        <v>10</v>
      </c>
      <c r="L317" s="830" t="s">
        <v>4794</v>
      </c>
      <c r="M317" s="830" t="s">
        <v>4794</v>
      </c>
      <c r="N317" s="830" t="s">
        <v>4794</v>
      </c>
      <c r="O317" s="830" t="s">
        <v>4794</v>
      </c>
      <c r="P317" s="830" t="s">
        <v>4794</v>
      </c>
      <c r="Q317" s="832">
        <f t="shared" si="4"/>
        <v>15</v>
      </c>
      <c r="R317" s="833" t="s">
        <v>3714</v>
      </c>
      <c r="S317" s="834"/>
      <c r="T317" s="850"/>
      <c r="U317" s="850"/>
      <c r="V317" s="850"/>
      <c r="W317" s="850"/>
      <c r="X317" s="850"/>
      <c r="Y317" s="850"/>
      <c r="Z317" s="850"/>
      <c r="AA317" s="850"/>
      <c r="AB317" s="850"/>
      <c r="AC317" s="850"/>
      <c r="AD317" s="850"/>
      <c r="AE317" s="850"/>
      <c r="AF317" s="835"/>
    </row>
    <row r="318" spans="1:32" ht="21">
      <c r="A318" s="827">
        <v>295</v>
      </c>
      <c r="B318" s="828" t="s">
        <v>100</v>
      </c>
      <c r="C318" s="828" t="s">
        <v>141</v>
      </c>
      <c r="D318" s="829" t="s">
        <v>142</v>
      </c>
      <c r="E318" s="830" t="s">
        <v>4794</v>
      </c>
      <c r="F318" s="830" t="s">
        <v>4794</v>
      </c>
      <c r="G318" s="830"/>
      <c r="H318" s="830" t="s">
        <v>4794</v>
      </c>
      <c r="I318" s="830"/>
      <c r="J318" s="830" t="s">
        <v>4794</v>
      </c>
      <c r="K318" s="830" t="s">
        <v>4794</v>
      </c>
      <c r="L318" s="830" t="s">
        <v>4794</v>
      </c>
      <c r="M318" s="831">
        <v>10</v>
      </c>
      <c r="N318" s="830" t="s">
        <v>4794</v>
      </c>
      <c r="O318" s="830" t="s">
        <v>4794</v>
      </c>
      <c r="P318" s="830" t="s">
        <v>4794</v>
      </c>
      <c r="Q318" s="832">
        <f t="shared" si="4"/>
        <v>10</v>
      </c>
      <c r="R318" s="833" t="s">
        <v>3714</v>
      </c>
      <c r="S318" s="834"/>
      <c r="T318" s="850"/>
      <c r="U318" s="850"/>
      <c r="V318" s="850"/>
      <c r="W318" s="850"/>
      <c r="X318" s="850"/>
      <c r="Y318" s="850"/>
      <c r="Z318" s="850"/>
      <c r="AA318" s="850"/>
      <c r="AB318" s="850"/>
      <c r="AC318" s="850"/>
      <c r="AD318" s="850"/>
      <c r="AE318" s="850"/>
      <c r="AF318" s="835"/>
    </row>
    <row r="319" spans="1:32" ht="21">
      <c r="A319" s="827">
        <v>296</v>
      </c>
      <c r="B319" s="828" t="s">
        <v>100</v>
      </c>
      <c r="C319" s="828" t="s">
        <v>143</v>
      </c>
      <c r="D319" s="829" t="s">
        <v>144</v>
      </c>
      <c r="E319" s="831">
        <v>10</v>
      </c>
      <c r="F319" s="830" t="s">
        <v>4794</v>
      </c>
      <c r="G319" s="830" t="s">
        <v>4794</v>
      </c>
      <c r="H319" s="830"/>
      <c r="I319" s="830" t="s">
        <v>4794</v>
      </c>
      <c r="J319" s="830" t="s">
        <v>4794</v>
      </c>
      <c r="K319" s="831">
        <v>10</v>
      </c>
      <c r="L319" s="830" t="s">
        <v>4794</v>
      </c>
      <c r="M319" s="830" t="s">
        <v>4794</v>
      </c>
      <c r="N319" s="830" t="s">
        <v>4794</v>
      </c>
      <c r="O319" s="830" t="s">
        <v>4794</v>
      </c>
      <c r="P319" s="830" t="s">
        <v>4794</v>
      </c>
      <c r="Q319" s="832">
        <f t="shared" si="4"/>
        <v>20</v>
      </c>
      <c r="R319" s="833" t="s">
        <v>3714</v>
      </c>
      <c r="S319" s="834"/>
      <c r="T319" s="835"/>
      <c r="U319" s="835"/>
      <c r="V319" s="835"/>
      <c r="W319" s="835"/>
      <c r="X319" s="835"/>
      <c r="Y319" s="835"/>
      <c r="Z319" s="835"/>
      <c r="AA319" s="835"/>
      <c r="AB319" s="835"/>
      <c r="AC319" s="835"/>
      <c r="AD319" s="835"/>
      <c r="AE319" s="835"/>
      <c r="AF319" s="835"/>
    </row>
    <row r="320" spans="1:32" ht="21">
      <c r="A320" s="827">
        <v>297</v>
      </c>
      <c r="B320" s="828" t="s">
        <v>100</v>
      </c>
      <c r="C320" s="828" t="s">
        <v>145</v>
      </c>
      <c r="D320" s="829" t="s">
        <v>146</v>
      </c>
      <c r="E320" s="830" t="s">
        <v>4794</v>
      </c>
      <c r="F320" s="830" t="s">
        <v>4794</v>
      </c>
      <c r="G320" s="830" t="s">
        <v>4794</v>
      </c>
      <c r="H320" s="830" t="s">
        <v>4794</v>
      </c>
      <c r="I320" s="831">
        <v>5</v>
      </c>
      <c r="J320" s="830" t="s">
        <v>4794</v>
      </c>
      <c r="K320" s="830" t="s">
        <v>4794</v>
      </c>
      <c r="L320" s="830" t="s">
        <v>4794</v>
      </c>
      <c r="M320" s="830" t="s">
        <v>4794</v>
      </c>
      <c r="N320" s="830" t="s">
        <v>4794</v>
      </c>
      <c r="O320" s="830" t="s">
        <v>4794</v>
      </c>
      <c r="P320" s="830" t="s">
        <v>4794</v>
      </c>
      <c r="Q320" s="832">
        <f t="shared" si="4"/>
        <v>5</v>
      </c>
      <c r="R320" s="833" t="s">
        <v>3714</v>
      </c>
      <c r="S320" s="834"/>
      <c r="T320" s="850"/>
      <c r="U320" s="850"/>
      <c r="V320" s="850"/>
      <c r="W320" s="850"/>
      <c r="X320" s="850"/>
      <c r="Y320" s="850"/>
      <c r="Z320" s="850"/>
      <c r="AA320" s="850"/>
      <c r="AB320" s="850"/>
      <c r="AC320" s="850"/>
      <c r="AD320" s="850"/>
      <c r="AE320" s="850"/>
      <c r="AF320" s="835"/>
    </row>
    <row r="321" spans="1:32" ht="21">
      <c r="A321" s="827">
        <v>298</v>
      </c>
      <c r="B321" s="828" t="s">
        <v>100</v>
      </c>
      <c r="C321" s="828" t="s">
        <v>147</v>
      </c>
      <c r="D321" s="829" t="s">
        <v>148</v>
      </c>
      <c r="E321" s="830" t="s">
        <v>4794</v>
      </c>
      <c r="F321" s="830" t="s">
        <v>4794</v>
      </c>
      <c r="G321" s="830" t="s">
        <v>4794</v>
      </c>
      <c r="H321" s="830" t="s">
        <v>4794</v>
      </c>
      <c r="I321" s="830" t="s">
        <v>4794</v>
      </c>
      <c r="J321" s="831">
        <v>5</v>
      </c>
      <c r="K321" s="830" t="s">
        <v>4794</v>
      </c>
      <c r="L321" s="830" t="s">
        <v>4794</v>
      </c>
      <c r="M321" s="830" t="s">
        <v>4794</v>
      </c>
      <c r="N321" s="830" t="s">
        <v>4794</v>
      </c>
      <c r="O321" s="830" t="s">
        <v>4794</v>
      </c>
      <c r="P321" s="830" t="s">
        <v>4794</v>
      </c>
      <c r="Q321" s="832">
        <f t="shared" si="4"/>
        <v>5</v>
      </c>
      <c r="R321" s="833" t="s">
        <v>3714</v>
      </c>
      <c r="S321" s="834"/>
      <c r="T321" s="850"/>
      <c r="U321" s="850"/>
      <c r="V321" s="850"/>
      <c r="W321" s="850"/>
      <c r="X321" s="850"/>
      <c r="Y321" s="850"/>
      <c r="Z321" s="850"/>
      <c r="AA321" s="850"/>
      <c r="AB321" s="850"/>
      <c r="AC321" s="850"/>
      <c r="AD321" s="850"/>
      <c r="AE321" s="850"/>
      <c r="AF321" s="835"/>
    </row>
    <row r="322" spans="1:32" ht="21">
      <c r="A322" s="827">
        <v>299</v>
      </c>
      <c r="B322" s="828" t="s">
        <v>100</v>
      </c>
      <c r="C322" s="828" t="s">
        <v>149</v>
      </c>
      <c r="D322" s="829" t="s">
        <v>150</v>
      </c>
      <c r="E322" s="830" t="s">
        <v>4794</v>
      </c>
      <c r="F322" s="830" t="s">
        <v>4794</v>
      </c>
      <c r="G322" s="830" t="s">
        <v>4794</v>
      </c>
      <c r="H322" s="830" t="s">
        <v>4794</v>
      </c>
      <c r="I322" s="830" t="s">
        <v>4794</v>
      </c>
      <c r="J322" s="830" t="s">
        <v>4794</v>
      </c>
      <c r="K322" s="831">
        <v>5</v>
      </c>
      <c r="L322" s="830" t="s">
        <v>4794</v>
      </c>
      <c r="M322" s="830" t="s">
        <v>4794</v>
      </c>
      <c r="N322" s="830" t="s">
        <v>4794</v>
      </c>
      <c r="O322" s="830" t="s">
        <v>4794</v>
      </c>
      <c r="P322" s="830" t="s">
        <v>4794</v>
      </c>
      <c r="Q322" s="832">
        <f t="shared" si="4"/>
        <v>5</v>
      </c>
      <c r="R322" s="833" t="s">
        <v>3714</v>
      </c>
      <c r="S322" s="834"/>
      <c r="T322" s="835"/>
      <c r="U322" s="835"/>
      <c r="V322" s="835"/>
      <c r="W322" s="835"/>
      <c r="X322" s="835"/>
      <c r="Y322" s="835"/>
      <c r="Z322" s="835"/>
      <c r="AA322" s="835"/>
      <c r="AB322" s="835"/>
      <c r="AC322" s="835"/>
      <c r="AD322" s="835"/>
      <c r="AE322" s="835"/>
      <c r="AF322" s="835"/>
    </row>
    <row r="323" spans="1:32" ht="21">
      <c r="A323" s="827">
        <v>300</v>
      </c>
      <c r="B323" s="828" t="s">
        <v>100</v>
      </c>
      <c r="C323" s="828" t="s">
        <v>151</v>
      </c>
      <c r="D323" s="829" t="s">
        <v>152</v>
      </c>
      <c r="E323" s="831">
        <v>2</v>
      </c>
      <c r="F323" s="830" t="s">
        <v>4794</v>
      </c>
      <c r="G323" s="831">
        <v>5</v>
      </c>
      <c r="H323" s="830" t="s">
        <v>4794</v>
      </c>
      <c r="I323" s="830"/>
      <c r="J323" s="830" t="s">
        <v>4794</v>
      </c>
      <c r="K323" s="830" t="s">
        <v>4794</v>
      </c>
      <c r="L323" s="830" t="s">
        <v>4794</v>
      </c>
      <c r="M323" s="830" t="s">
        <v>4794</v>
      </c>
      <c r="N323" s="830" t="s">
        <v>4794</v>
      </c>
      <c r="O323" s="830" t="s">
        <v>4794</v>
      </c>
      <c r="P323" s="830" t="s">
        <v>4794</v>
      </c>
      <c r="Q323" s="832">
        <f t="shared" si="4"/>
        <v>7</v>
      </c>
      <c r="R323" s="833" t="s">
        <v>3714</v>
      </c>
      <c r="S323" s="834"/>
      <c r="T323" s="850"/>
      <c r="U323" s="850"/>
      <c r="V323" s="850"/>
      <c r="W323" s="850"/>
      <c r="X323" s="850"/>
      <c r="Y323" s="850"/>
      <c r="Z323" s="850"/>
      <c r="AA323" s="850"/>
      <c r="AB323" s="850"/>
      <c r="AC323" s="850"/>
      <c r="AD323" s="850"/>
      <c r="AE323" s="850"/>
      <c r="AF323" s="835"/>
    </row>
    <row r="324" spans="1:32" ht="21">
      <c r="A324" s="827">
        <v>301</v>
      </c>
      <c r="B324" s="828" t="s">
        <v>100</v>
      </c>
      <c r="C324" s="828" t="s">
        <v>153</v>
      </c>
      <c r="D324" s="829" t="s">
        <v>154</v>
      </c>
      <c r="E324" s="830" t="s">
        <v>4794</v>
      </c>
      <c r="F324" s="830" t="s">
        <v>4794</v>
      </c>
      <c r="G324" s="830" t="s">
        <v>4794</v>
      </c>
      <c r="H324" s="831">
        <v>5</v>
      </c>
      <c r="I324" s="830" t="s">
        <v>4794</v>
      </c>
      <c r="J324" s="830" t="s">
        <v>4794</v>
      </c>
      <c r="K324" s="830" t="s">
        <v>4794</v>
      </c>
      <c r="L324" s="830" t="s">
        <v>4794</v>
      </c>
      <c r="M324" s="830" t="s">
        <v>4794</v>
      </c>
      <c r="N324" s="830" t="s">
        <v>4794</v>
      </c>
      <c r="O324" s="830" t="s">
        <v>4794</v>
      </c>
      <c r="P324" s="830" t="s">
        <v>4794</v>
      </c>
      <c r="Q324" s="832">
        <f t="shared" si="4"/>
        <v>5</v>
      </c>
      <c r="R324" s="833" t="s">
        <v>3714</v>
      </c>
      <c r="S324" s="834"/>
      <c r="T324" s="850"/>
      <c r="U324" s="850"/>
      <c r="V324" s="850"/>
      <c r="W324" s="850"/>
      <c r="X324" s="850"/>
      <c r="Y324" s="850"/>
      <c r="Z324" s="850"/>
      <c r="AA324" s="850"/>
      <c r="AB324" s="850"/>
      <c r="AC324" s="850"/>
      <c r="AD324" s="850"/>
      <c r="AE324" s="850"/>
      <c r="AF324" s="835"/>
    </row>
    <row r="325" spans="1:32" ht="21">
      <c r="A325" s="827">
        <v>302</v>
      </c>
      <c r="B325" s="828" t="s">
        <v>100</v>
      </c>
      <c r="C325" s="828" t="s">
        <v>155</v>
      </c>
      <c r="D325" s="829" t="s">
        <v>156</v>
      </c>
      <c r="E325" s="830" t="s">
        <v>4794</v>
      </c>
      <c r="F325" s="830" t="s">
        <v>4794</v>
      </c>
      <c r="G325" s="830" t="s">
        <v>4794</v>
      </c>
      <c r="H325" s="830" t="s">
        <v>4794</v>
      </c>
      <c r="I325" s="830" t="s">
        <v>4794</v>
      </c>
      <c r="J325" s="831">
        <v>5</v>
      </c>
      <c r="K325" s="830" t="s">
        <v>4794</v>
      </c>
      <c r="L325" s="830" t="s">
        <v>4794</v>
      </c>
      <c r="M325" s="830" t="s">
        <v>4794</v>
      </c>
      <c r="N325" s="830" t="s">
        <v>4794</v>
      </c>
      <c r="O325" s="830" t="s">
        <v>4794</v>
      </c>
      <c r="P325" s="830" t="s">
        <v>4794</v>
      </c>
      <c r="Q325" s="832">
        <f t="shared" si="4"/>
        <v>5</v>
      </c>
      <c r="R325" s="833" t="s">
        <v>3714</v>
      </c>
      <c r="S325" s="834"/>
      <c r="T325" s="850"/>
      <c r="U325" s="850"/>
      <c r="V325" s="850"/>
      <c r="W325" s="850"/>
      <c r="X325" s="850"/>
      <c r="Y325" s="850"/>
      <c r="Z325" s="850"/>
      <c r="AA325" s="850"/>
      <c r="AB325" s="850"/>
      <c r="AC325" s="850"/>
      <c r="AD325" s="850"/>
      <c r="AE325" s="850"/>
      <c r="AF325" s="835"/>
    </row>
    <row r="326" spans="1:32" ht="21">
      <c r="A326" s="827">
        <v>303</v>
      </c>
      <c r="B326" s="828" t="s">
        <v>100</v>
      </c>
      <c r="C326" s="828" t="s">
        <v>157</v>
      </c>
      <c r="D326" s="829" t="s">
        <v>158</v>
      </c>
      <c r="E326" s="831">
        <v>2</v>
      </c>
      <c r="F326" s="830" t="s">
        <v>4794</v>
      </c>
      <c r="G326" s="830" t="s">
        <v>4794</v>
      </c>
      <c r="H326" s="830" t="s">
        <v>4794</v>
      </c>
      <c r="I326" s="830" t="s">
        <v>4794</v>
      </c>
      <c r="J326" s="830" t="s">
        <v>4794</v>
      </c>
      <c r="K326" s="831">
        <v>5</v>
      </c>
      <c r="L326" s="830" t="s">
        <v>4794</v>
      </c>
      <c r="M326" s="830" t="s">
        <v>4794</v>
      </c>
      <c r="N326" s="830" t="s">
        <v>4794</v>
      </c>
      <c r="O326" s="830" t="s">
        <v>4794</v>
      </c>
      <c r="P326" s="830" t="s">
        <v>4794</v>
      </c>
      <c r="Q326" s="832">
        <f t="shared" si="4"/>
        <v>7</v>
      </c>
      <c r="R326" s="833" t="s">
        <v>3714</v>
      </c>
      <c r="S326" s="834"/>
      <c r="T326" s="850"/>
      <c r="U326" s="850"/>
      <c r="V326" s="850"/>
      <c r="W326" s="850"/>
      <c r="X326" s="850"/>
      <c r="Y326" s="850"/>
      <c r="Z326" s="850"/>
      <c r="AA326" s="850"/>
      <c r="AB326" s="850"/>
      <c r="AC326" s="850"/>
      <c r="AD326" s="850"/>
      <c r="AE326" s="850"/>
      <c r="AF326" s="835"/>
    </row>
    <row r="327" spans="1:32" ht="21">
      <c r="A327" s="827">
        <v>304</v>
      </c>
      <c r="B327" s="828" t="s">
        <v>100</v>
      </c>
      <c r="C327" s="828" t="s">
        <v>159</v>
      </c>
      <c r="D327" s="829" t="s">
        <v>160</v>
      </c>
      <c r="E327" s="830" t="s">
        <v>4794</v>
      </c>
      <c r="F327" s="830" t="s">
        <v>4794</v>
      </c>
      <c r="G327" s="830" t="s">
        <v>4794</v>
      </c>
      <c r="H327" s="830" t="s">
        <v>4794</v>
      </c>
      <c r="I327" s="830" t="s">
        <v>4794</v>
      </c>
      <c r="J327" s="830" t="s">
        <v>4794</v>
      </c>
      <c r="K327" s="830" t="s">
        <v>4794</v>
      </c>
      <c r="L327" s="831">
        <v>5</v>
      </c>
      <c r="M327" s="830" t="s">
        <v>4794</v>
      </c>
      <c r="N327" s="830" t="s">
        <v>4794</v>
      </c>
      <c r="O327" s="830" t="s">
        <v>4794</v>
      </c>
      <c r="P327" s="830" t="s">
        <v>4794</v>
      </c>
      <c r="Q327" s="832">
        <f t="shared" si="4"/>
        <v>5</v>
      </c>
      <c r="R327" s="833" t="s">
        <v>3714</v>
      </c>
      <c r="S327" s="836"/>
      <c r="T327" s="852"/>
      <c r="U327" s="861"/>
      <c r="V327" s="861"/>
      <c r="W327" s="861"/>
      <c r="X327" s="861"/>
      <c r="Y327" s="861"/>
      <c r="Z327" s="861"/>
      <c r="AA327" s="861"/>
      <c r="AB327" s="861"/>
      <c r="AC327" s="861"/>
      <c r="AD327" s="861"/>
      <c r="AE327" s="861"/>
      <c r="AF327" s="835"/>
    </row>
    <row r="328" spans="1:32" ht="21">
      <c r="A328" s="827">
        <v>305</v>
      </c>
      <c r="B328" s="828" t="s">
        <v>100</v>
      </c>
      <c r="C328" s="828" t="s">
        <v>161</v>
      </c>
      <c r="D328" s="829" t="s">
        <v>162</v>
      </c>
      <c r="E328" s="830" t="s">
        <v>4794</v>
      </c>
      <c r="F328" s="830" t="s">
        <v>4794</v>
      </c>
      <c r="G328" s="830" t="s">
        <v>4794</v>
      </c>
      <c r="H328" s="830" t="s">
        <v>4794</v>
      </c>
      <c r="I328" s="830" t="s">
        <v>4794</v>
      </c>
      <c r="J328" s="830" t="s">
        <v>4794</v>
      </c>
      <c r="K328" s="830" t="s">
        <v>4794</v>
      </c>
      <c r="L328" s="830" t="s">
        <v>4794</v>
      </c>
      <c r="M328" s="831">
        <v>5</v>
      </c>
      <c r="N328" s="830" t="s">
        <v>4794</v>
      </c>
      <c r="O328" s="830" t="s">
        <v>4794</v>
      </c>
      <c r="P328" s="830" t="s">
        <v>4794</v>
      </c>
      <c r="Q328" s="832">
        <f t="shared" si="4"/>
        <v>5</v>
      </c>
      <c r="R328" s="833" t="s">
        <v>3714</v>
      </c>
      <c r="S328" s="834"/>
      <c r="T328" s="850"/>
      <c r="U328" s="850"/>
      <c r="V328" s="850"/>
      <c r="W328" s="850"/>
      <c r="X328" s="850"/>
      <c r="Y328" s="850"/>
      <c r="Z328" s="850"/>
      <c r="AA328" s="850"/>
      <c r="AB328" s="850"/>
      <c r="AC328" s="850"/>
      <c r="AD328" s="850"/>
      <c r="AE328" s="850"/>
      <c r="AF328" s="835"/>
    </row>
    <row r="329" spans="1:32">
      <c r="A329" s="827">
        <v>306</v>
      </c>
      <c r="B329" s="828" t="s">
        <v>100</v>
      </c>
      <c r="C329" s="828" t="s">
        <v>163</v>
      </c>
      <c r="D329" s="829" t="s">
        <v>164</v>
      </c>
      <c r="E329" s="831">
        <v>40</v>
      </c>
      <c r="F329" s="831">
        <v>40</v>
      </c>
      <c r="G329" s="831">
        <v>40</v>
      </c>
      <c r="H329" s="831">
        <v>50</v>
      </c>
      <c r="I329" s="831">
        <v>50</v>
      </c>
      <c r="J329" s="831">
        <v>50</v>
      </c>
      <c r="K329" s="831">
        <v>50</v>
      </c>
      <c r="L329" s="831">
        <v>50</v>
      </c>
      <c r="M329" s="831">
        <v>50</v>
      </c>
      <c r="N329" s="831">
        <v>50</v>
      </c>
      <c r="O329" s="831">
        <v>40</v>
      </c>
      <c r="P329" s="831">
        <v>40</v>
      </c>
      <c r="Q329" s="832">
        <f t="shared" si="4"/>
        <v>550</v>
      </c>
      <c r="R329" s="833" t="s">
        <v>3714</v>
      </c>
      <c r="S329" s="834"/>
      <c r="T329" s="850"/>
      <c r="U329" s="850"/>
      <c r="V329" s="850"/>
      <c r="W329" s="850"/>
      <c r="X329" s="850"/>
      <c r="Y329" s="850"/>
      <c r="Z329" s="850"/>
      <c r="AA329" s="850"/>
      <c r="AB329" s="850"/>
      <c r="AC329" s="850"/>
      <c r="AD329" s="850"/>
      <c r="AE329" s="850"/>
      <c r="AF329" s="835"/>
    </row>
    <row r="330" spans="1:32" ht="21">
      <c r="A330" s="827">
        <v>307</v>
      </c>
      <c r="B330" s="828" t="s">
        <v>100</v>
      </c>
      <c r="C330" s="828" t="s">
        <v>165</v>
      </c>
      <c r="D330" s="829" t="s">
        <v>166</v>
      </c>
      <c r="E330" s="831">
        <v>5</v>
      </c>
      <c r="F330" s="830" t="s">
        <v>4794</v>
      </c>
      <c r="G330" s="830" t="s">
        <v>4794</v>
      </c>
      <c r="H330" s="830" t="s">
        <v>4794</v>
      </c>
      <c r="I330" s="830" t="s">
        <v>4794</v>
      </c>
      <c r="J330" s="830" t="s">
        <v>4794</v>
      </c>
      <c r="K330" s="830" t="s">
        <v>4794</v>
      </c>
      <c r="L330" s="830" t="s">
        <v>4794</v>
      </c>
      <c r="M330" s="830" t="s">
        <v>4794</v>
      </c>
      <c r="N330" s="830" t="s">
        <v>4794</v>
      </c>
      <c r="O330" s="830" t="s">
        <v>4794</v>
      </c>
      <c r="P330" s="830" t="s">
        <v>4794</v>
      </c>
      <c r="Q330" s="832">
        <f t="shared" si="4"/>
        <v>5</v>
      </c>
      <c r="R330" s="833" t="s">
        <v>3714</v>
      </c>
      <c r="S330" s="834"/>
      <c r="T330" s="850"/>
      <c r="U330" s="850"/>
      <c r="V330" s="850"/>
      <c r="W330" s="850"/>
      <c r="X330" s="850"/>
      <c r="Y330" s="850"/>
      <c r="Z330" s="850"/>
      <c r="AA330" s="850"/>
      <c r="AB330" s="850"/>
      <c r="AC330" s="850"/>
      <c r="AD330" s="850"/>
      <c r="AE330" s="850"/>
      <c r="AF330" s="835"/>
    </row>
    <row r="331" spans="1:32" ht="21">
      <c r="A331" s="827">
        <v>308</v>
      </c>
      <c r="B331" s="828" t="s">
        <v>100</v>
      </c>
      <c r="C331" s="828" t="s">
        <v>167</v>
      </c>
      <c r="D331" s="829" t="s">
        <v>168</v>
      </c>
      <c r="E331" s="830" t="s">
        <v>4794</v>
      </c>
      <c r="F331" s="831">
        <v>5</v>
      </c>
      <c r="G331" s="830" t="s">
        <v>4794</v>
      </c>
      <c r="H331" s="831">
        <v>10</v>
      </c>
      <c r="I331" s="830" t="s">
        <v>4794</v>
      </c>
      <c r="J331" s="830" t="s">
        <v>4794</v>
      </c>
      <c r="K331" s="830" t="s">
        <v>4794</v>
      </c>
      <c r="L331" s="830" t="s">
        <v>4794</v>
      </c>
      <c r="M331" s="830" t="s">
        <v>4794</v>
      </c>
      <c r="N331" s="830" t="s">
        <v>4794</v>
      </c>
      <c r="O331" s="830" t="s">
        <v>4794</v>
      </c>
      <c r="P331" s="830" t="s">
        <v>4794</v>
      </c>
      <c r="Q331" s="832">
        <f t="shared" si="4"/>
        <v>15</v>
      </c>
      <c r="R331" s="833" t="s">
        <v>3714</v>
      </c>
      <c r="S331" s="834"/>
      <c r="T331" s="850"/>
      <c r="U331" s="850"/>
      <c r="V331" s="850"/>
      <c r="W331" s="850"/>
      <c r="X331" s="850"/>
      <c r="Y331" s="850"/>
      <c r="Z331" s="850"/>
      <c r="AA331" s="850"/>
      <c r="AB331" s="850"/>
      <c r="AC331" s="850"/>
      <c r="AD331" s="850"/>
      <c r="AE331" s="850"/>
      <c r="AF331" s="835"/>
    </row>
    <row r="332" spans="1:32">
      <c r="A332" s="827">
        <v>309</v>
      </c>
      <c r="B332" s="828" t="s">
        <v>100</v>
      </c>
      <c r="C332" s="828" t="s">
        <v>169</v>
      </c>
      <c r="D332" s="829" t="s">
        <v>170</v>
      </c>
      <c r="E332" s="831">
        <v>5</v>
      </c>
      <c r="F332" s="830" t="s">
        <v>4794</v>
      </c>
      <c r="G332" s="830" t="s">
        <v>4794</v>
      </c>
      <c r="H332" s="831">
        <v>10</v>
      </c>
      <c r="I332" s="830" t="s">
        <v>4794</v>
      </c>
      <c r="J332" s="830" t="s">
        <v>4794</v>
      </c>
      <c r="K332" s="830" t="s">
        <v>4794</v>
      </c>
      <c r="L332" s="830" t="s">
        <v>4794</v>
      </c>
      <c r="M332" s="830" t="s">
        <v>4794</v>
      </c>
      <c r="N332" s="830" t="s">
        <v>4794</v>
      </c>
      <c r="O332" s="831">
        <v>5</v>
      </c>
      <c r="P332" s="830" t="s">
        <v>4794</v>
      </c>
      <c r="Q332" s="832">
        <f t="shared" si="4"/>
        <v>20</v>
      </c>
      <c r="R332" s="833" t="s">
        <v>3714</v>
      </c>
      <c r="S332" s="850"/>
      <c r="T332" s="861"/>
      <c r="U332" s="861"/>
      <c r="V332" s="861"/>
      <c r="W332" s="861"/>
      <c r="X332" s="861"/>
      <c r="Y332" s="861"/>
      <c r="Z332" s="861"/>
      <c r="AA332" s="861"/>
      <c r="AB332" s="861"/>
      <c r="AC332" s="861"/>
      <c r="AD332" s="861"/>
      <c r="AE332" s="861"/>
      <c r="AF332" s="835"/>
    </row>
    <row r="333" spans="1:32">
      <c r="A333" s="827">
        <v>310</v>
      </c>
      <c r="B333" s="828" t="s">
        <v>100</v>
      </c>
      <c r="C333" s="828" t="s">
        <v>171</v>
      </c>
      <c r="D333" s="829" t="s">
        <v>172</v>
      </c>
      <c r="E333" s="830" t="s">
        <v>4794</v>
      </c>
      <c r="F333" s="830" t="s">
        <v>4794</v>
      </c>
      <c r="G333" s="831">
        <v>5</v>
      </c>
      <c r="H333" s="830" t="s">
        <v>4794</v>
      </c>
      <c r="I333" s="830" t="s">
        <v>4794</v>
      </c>
      <c r="J333" s="831">
        <v>10</v>
      </c>
      <c r="K333" s="830" t="s">
        <v>4794</v>
      </c>
      <c r="L333" s="831">
        <v>5</v>
      </c>
      <c r="M333" s="830" t="s">
        <v>4794</v>
      </c>
      <c r="N333" s="830" t="s">
        <v>4794</v>
      </c>
      <c r="O333" s="830" t="s">
        <v>4794</v>
      </c>
      <c r="P333" s="830" t="s">
        <v>4794</v>
      </c>
      <c r="Q333" s="832">
        <f t="shared" si="4"/>
        <v>20</v>
      </c>
      <c r="R333" s="833" t="s">
        <v>3714</v>
      </c>
      <c r="S333" s="850"/>
      <c r="T333" s="861"/>
      <c r="U333" s="861"/>
      <c r="V333" s="861"/>
      <c r="W333" s="861"/>
      <c r="X333" s="861"/>
      <c r="Y333" s="861"/>
      <c r="Z333" s="861"/>
      <c r="AA333" s="861"/>
      <c r="AB333" s="861"/>
      <c r="AC333" s="861"/>
      <c r="AD333" s="861"/>
      <c r="AE333" s="861"/>
      <c r="AF333" s="835"/>
    </row>
    <row r="334" spans="1:32">
      <c r="A334" s="827">
        <v>311</v>
      </c>
      <c r="B334" s="828" t="s">
        <v>100</v>
      </c>
      <c r="C334" s="828" t="s">
        <v>173</v>
      </c>
      <c r="D334" s="829" t="s">
        <v>174</v>
      </c>
      <c r="E334" s="830" t="s">
        <v>4794</v>
      </c>
      <c r="F334" s="830" t="s">
        <v>4794</v>
      </c>
      <c r="G334" s="831">
        <v>5</v>
      </c>
      <c r="H334" s="830" t="s">
        <v>4794</v>
      </c>
      <c r="I334" s="831">
        <v>5</v>
      </c>
      <c r="J334" s="830" t="s">
        <v>4794</v>
      </c>
      <c r="K334" s="831">
        <v>10</v>
      </c>
      <c r="L334" s="830" t="s">
        <v>4794</v>
      </c>
      <c r="M334" s="830" t="s">
        <v>4794</v>
      </c>
      <c r="N334" s="830" t="s">
        <v>4794</v>
      </c>
      <c r="O334" s="830" t="s">
        <v>4794</v>
      </c>
      <c r="P334" s="830" t="s">
        <v>4794</v>
      </c>
      <c r="Q334" s="832">
        <f t="shared" si="4"/>
        <v>20</v>
      </c>
      <c r="R334" s="833" t="s">
        <v>3714</v>
      </c>
      <c r="S334" s="836"/>
      <c r="T334" s="852"/>
      <c r="U334" s="861"/>
      <c r="V334" s="861"/>
      <c r="W334" s="861"/>
      <c r="X334" s="861"/>
      <c r="Y334" s="861"/>
      <c r="Z334" s="861"/>
      <c r="AA334" s="861"/>
      <c r="AB334" s="861"/>
      <c r="AC334" s="861"/>
      <c r="AD334" s="861"/>
      <c r="AE334" s="861"/>
      <c r="AF334" s="835"/>
    </row>
    <row r="335" spans="1:32">
      <c r="A335" s="827">
        <v>312</v>
      </c>
      <c r="B335" s="828" t="s">
        <v>100</v>
      </c>
      <c r="C335" s="828" t="s">
        <v>175</v>
      </c>
      <c r="D335" s="829" t="s">
        <v>176</v>
      </c>
      <c r="E335" s="830" t="s">
        <v>4794</v>
      </c>
      <c r="F335" s="831">
        <v>5</v>
      </c>
      <c r="G335" s="830" t="s">
        <v>4794</v>
      </c>
      <c r="H335" s="830" t="s">
        <v>4794</v>
      </c>
      <c r="I335" s="830" t="s">
        <v>4794</v>
      </c>
      <c r="J335" s="831">
        <v>10</v>
      </c>
      <c r="K335" s="830" t="s">
        <v>4794</v>
      </c>
      <c r="L335" s="830" t="s">
        <v>4794</v>
      </c>
      <c r="M335" s="830" t="s">
        <v>4794</v>
      </c>
      <c r="N335" s="830" t="s">
        <v>4794</v>
      </c>
      <c r="O335" s="830" t="s">
        <v>4794</v>
      </c>
      <c r="P335" s="830" t="s">
        <v>4794</v>
      </c>
      <c r="Q335" s="832">
        <f t="shared" si="4"/>
        <v>15</v>
      </c>
      <c r="R335" s="833" t="s">
        <v>3714</v>
      </c>
      <c r="S335" s="851"/>
      <c r="T335" s="852"/>
      <c r="U335" s="852"/>
      <c r="V335" s="861"/>
      <c r="W335" s="861"/>
      <c r="X335" s="861"/>
      <c r="Y335" s="861"/>
      <c r="Z335" s="861"/>
      <c r="AA335" s="861"/>
      <c r="AB335" s="861"/>
      <c r="AC335" s="861"/>
      <c r="AD335" s="861"/>
      <c r="AE335" s="861"/>
      <c r="AF335" s="835"/>
    </row>
    <row r="336" spans="1:32" ht="31.5">
      <c r="A336" s="827">
        <v>313</v>
      </c>
      <c r="B336" s="828" t="s">
        <v>100</v>
      </c>
      <c r="C336" s="828" t="s">
        <v>177</v>
      </c>
      <c r="D336" s="829" t="s">
        <v>178</v>
      </c>
      <c r="E336" s="830" t="s">
        <v>4794</v>
      </c>
      <c r="F336" s="830" t="s">
        <v>4794</v>
      </c>
      <c r="G336" s="830" t="s">
        <v>4794</v>
      </c>
      <c r="H336" s="830" t="s">
        <v>4794</v>
      </c>
      <c r="I336" s="830" t="s">
        <v>4794</v>
      </c>
      <c r="J336" s="831">
        <v>5</v>
      </c>
      <c r="K336" s="831">
        <v>10</v>
      </c>
      <c r="L336" s="830" t="s">
        <v>4794</v>
      </c>
      <c r="M336" s="830" t="s">
        <v>4794</v>
      </c>
      <c r="N336" s="830" t="s">
        <v>4794</v>
      </c>
      <c r="O336" s="830" t="s">
        <v>4794</v>
      </c>
      <c r="P336" s="830" t="s">
        <v>4794</v>
      </c>
      <c r="Q336" s="832">
        <f t="shared" si="4"/>
        <v>15</v>
      </c>
      <c r="R336" s="833" t="s">
        <v>3714</v>
      </c>
      <c r="S336" s="834"/>
      <c r="T336" s="850"/>
      <c r="U336" s="850"/>
      <c r="V336" s="850"/>
      <c r="W336" s="850"/>
      <c r="X336" s="850"/>
      <c r="Y336" s="850"/>
      <c r="Z336" s="850"/>
      <c r="AA336" s="850"/>
      <c r="AB336" s="850"/>
      <c r="AC336" s="850"/>
      <c r="AD336" s="850"/>
      <c r="AE336" s="850"/>
      <c r="AF336" s="835"/>
    </row>
    <row r="337" spans="1:32" ht="52.5">
      <c r="A337" s="827">
        <v>314</v>
      </c>
      <c r="B337" s="828" t="s">
        <v>100</v>
      </c>
      <c r="C337" s="828" t="s">
        <v>179</v>
      </c>
      <c r="D337" s="829" t="s">
        <v>180</v>
      </c>
      <c r="E337" s="830" t="s">
        <v>4794</v>
      </c>
      <c r="F337" s="830"/>
      <c r="G337" s="830" t="s">
        <v>4794</v>
      </c>
      <c r="H337" s="830" t="s">
        <v>4794</v>
      </c>
      <c r="I337" s="830"/>
      <c r="J337" s="830" t="s">
        <v>4794</v>
      </c>
      <c r="K337" s="831">
        <v>10</v>
      </c>
      <c r="L337" s="830" t="s">
        <v>4794</v>
      </c>
      <c r="M337" s="831">
        <v>40</v>
      </c>
      <c r="N337" s="830" t="s">
        <v>4794</v>
      </c>
      <c r="O337" s="830" t="s">
        <v>4794</v>
      </c>
      <c r="P337" s="830" t="s">
        <v>4794</v>
      </c>
      <c r="Q337" s="832">
        <f t="shared" si="4"/>
        <v>50</v>
      </c>
      <c r="R337" s="833" t="s">
        <v>3714</v>
      </c>
      <c r="S337" s="834"/>
      <c r="T337" s="850"/>
      <c r="U337" s="850"/>
      <c r="V337" s="850"/>
      <c r="W337" s="850"/>
      <c r="X337" s="850"/>
      <c r="Y337" s="850"/>
      <c r="Z337" s="850"/>
      <c r="AA337" s="850"/>
      <c r="AB337" s="850"/>
      <c r="AC337" s="850"/>
      <c r="AD337" s="850"/>
      <c r="AE337" s="850"/>
      <c r="AF337" s="835"/>
    </row>
    <row r="338" spans="1:32" ht="52.5">
      <c r="A338" s="827">
        <v>315</v>
      </c>
      <c r="B338" s="828" t="s">
        <v>100</v>
      </c>
      <c r="C338" s="828" t="s">
        <v>181</v>
      </c>
      <c r="D338" s="829" t="s">
        <v>182</v>
      </c>
      <c r="E338" s="830"/>
      <c r="F338" s="830" t="s">
        <v>4794</v>
      </c>
      <c r="G338" s="830"/>
      <c r="H338" s="830" t="s">
        <v>4794</v>
      </c>
      <c r="I338" s="831">
        <v>10</v>
      </c>
      <c r="J338" s="830" t="s">
        <v>4794</v>
      </c>
      <c r="K338" s="831">
        <v>10</v>
      </c>
      <c r="L338" s="830" t="s">
        <v>4794</v>
      </c>
      <c r="M338" s="830" t="s">
        <v>4794</v>
      </c>
      <c r="N338" s="830" t="s">
        <v>4794</v>
      </c>
      <c r="O338" s="830" t="s">
        <v>4794</v>
      </c>
      <c r="P338" s="830" t="s">
        <v>4794</v>
      </c>
      <c r="Q338" s="832">
        <f t="shared" si="4"/>
        <v>20</v>
      </c>
      <c r="R338" s="833" t="s">
        <v>3714</v>
      </c>
      <c r="S338" s="834"/>
      <c r="T338" s="850"/>
      <c r="U338" s="850"/>
      <c r="V338" s="850"/>
      <c r="W338" s="850"/>
      <c r="X338" s="850"/>
      <c r="Y338" s="850"/>
      <c r="Z338" s="850"/>
      <c r="AA338" s="850"/>
      <c r="AB338" s="850"/>
      <c r="AC338" s="850"/>
      <c r="AD338" s="850"/>
      <c r="AE338" s="850"/>
      <c r="AF338" s="835"/>
    </row>
    <row r="339" spans="1:32" ht="52.5">
      <c r="A339" s="827">
        <v>316</v>
      </c>
      <c r="B339" s="828" t="s">
        <v>100</v>
      </c>
      <c r="C339" s="828" t="s">
        <v>183</v>
      </c>
      <c r="D339" s="829" t="s">
        <v>184</v>
      </c>
      <c r="E339" s="830" t="s">
        <v>4794</v>
      </c>
      <c r="F339" s="830"/>
      <c r="G339" s="830" t="s">
        <v>4794</v>
      </c>
      <c r="H339" s="830"/>
      <c r="I339" s="830" t="s">
        <v>4794</v>
      </c>
      <c r="J339" s="831">
        <v>10</v>
      </c>
      <c r="K339" s="830" t="s">
        <v>4794</v>
      </c>
      <c r="L339" s="830" t="s">
        <v>4794</v>
      </c>
      <c r="M339" s="831">
        <v>10</v>
      </c>
      <c r="N339" s="830" t="s">
        <v>4794</v>
      </c>
      <c r="O339" s="830" t="s">
        <v>4794</v>
      </c>
      <c r="P339" s="830" t="s">
        <v>4794</v>
      </c>
      <c r="Q339" s="832">
        <f t="shared" si="4"/>
        <v>20</v>
      </c>
      <c r="R339" s="833" t="s">
        <v>3714</v>
      </c>
      <c r="S339" s="834"/>
      <c r="T339" s="850"/>
      <c r="U339" s="850"/>
      <c r="V339" s="850"/>
      <c r="W339" s="850"/>
      <c r="X339" s="850"/>
      <c r="Y339" s="850"/>
      <c r="Z339" s="850"/>
      <c r="AA339" s="850"/>
      <c r="AB339" s="850"/>
      <c r="AC339" s="850"/>
      <c r="AD339" s="850"/>
      <c r="AE339" s="850"/>
      <c r="AF339" s="835"/>
    </row>
    <row r="340" spans="1:32" ht="52.5">
      <c r="A340" s="827">
        <v>317</v>
      </c>
      <c r="B340" s="828" t="s">
        <v>100</v>
      </c>
      <c r="C340" s="828" t="s">
        <v>185</v>
      </c>
      <c r="D340" s="829" t="s">
        <v>186</v>
      </c>
      <c r="E340" s="830" t="s">
        <v>4794</v>
      </c>
      <c r="F340" s="830" t="s">
        <v>4794</v>
      </c>
      <c r="G340" s="830" t="s">
        <v>4794</v>
      </c>
      <c r="H340" s="830"/>
      <c r="I340" s="830" t="s">
        <v>4794</v>
      </c>
      <c r="J340" s="831">
        <v>10</v>
      </c>
      <c r="K340" s="830" t="s">
        <v>4794</v>
      </c>
      <c r="L340" s="831">
        <v>10</v>
      </c>
      <c r="M340" s="830" t="s">
        <v>4794</v>
      </c>
      <c r="N340" s="830" t="s">
        <v>4794</v>
      </c>
      <c r="O340" s="831">
        <v>10</v>
      </c>
      <c r="P340" s="830"/>
      <c r="Q340" s="832">
        <f t="shared" si="4"/>
        <v>30</v>
      </c>
      <c r="R340" s="833" t="s">
        <v>3714</v>
      </c>
      <c r="S340" s="834"/>
      <c r="T340" s="850"/>
      <c r="U340" s="850"/>
      <c r="V340" s="850"/>
      <c r="W340" s="850"/>
      <c r="X340" s="850"/>
      <c r="Y340" s="850"/>
      <c r="Z340" s="850"/>
      <c r="AA340" s="850"/>
      <c r="AB340" s="850"/>
      <c r="AC340" s="850"/>
      <c r="AD340" s="850"/>
      <c r="AE340" s="850"/>
      <c r="AF340" s="835"/>
    </row>
    <row r="341" spans="1:32" ht="52.5">
      <c r="A341" s="827">
        <v>318</v>
      </c>
      <c r="B341" s="828" t="s">
        <v>100</v>
      </c>
      <c r="C341" s="828" t="s">
        <v>187</v>
      </c>
      <c r="D341" s="829" t="s">
        <v>188</v>
      </c>
      <c r="E341" s="830" t="s">
        <v>4794</v>
      </c>
      <c r="F341" s="830"/>
      <c r="G341" s="830" t="s">
        <v>4794</v>
      </c>
      <c r="H341" s="830" t="s">
        <v>4794</v>
      </c>
      <c r="I341" s="830" t="s">
        <v>4794</v>
      </c>
      <c r="J341" s="831">
        <v>10</v>
      </c>
      <c r="K341" s="831">
        <v>10</v>
      </c>
      <c r="L341" s="830" t="s">
        <v>4794</v>
      </c>
      <c r="M341" s="830" t="s">
        <v>4794</v>
      </c>
      <c r="N341" s="830" t="s">
        <v>4794</v>
      </c>
      <c r="O341" s="830" t="s">
        <v>4794</v>
      </c>
      <c r="P341" s="830"/>
      <c r="Q341" s="832">
        <f t="shared" si="4"/>
        <v>20</v>
      </c>
      <c r="R341" s="833" t="s">
        <v>3714</v>
      </c>
      <c r="S341" s="834"/>
      <c r="T341" s="850"/>
      <c r="U341" s="850"/>
      <c r="V341" s="850"/>
      <c r="W341" s="850"/>
      <c r="X341" s="850"/>
      <c r="Y341" s="850"/>
      <c r="Z341" s="850"/>
      <c r="AA341" s="850"/>
      <c r="AB341" s="850"/>
      <c r="AC341" s="850"/>
      <c r="AD341" s="850"/>
      <c r="AE341" s="850"/>
      <c r="AF341" s="835"/>
    </row>
    <row r="342" spans="1:32" ht="31.5">
      <c r="A342" s="827">
        <v>319</v>
      </c>
      <c r="B342" s="828" t="s">
        <v>100</v>
      </c>
      <c r="C342" s="828" t="s">
        <v>189</v>
      </c>
      <c r="D342" s="829" t="s">
        <v>190</v>
      </c>
      <c r="E342" s="830" t="s">
        <v>4794</v>
      </c>
      <c r="F342" s="831">
        <v>100</v>
      </c>
      <c r="G342" s="830" t="s">
        <v>4794</v>
      </c>
      <c r="H342" s="830" t="s">
        <v>4794</v>
      </c>
      <c r="I342" s="831">
        <v>100</v>
      </c>
      <c r="J342" s="830" t="s">
        <v>4794</v>
      </c>
      <c r="K342" s="831">
        <v>100</v>
      </c>
      <c r="L342" s="831">
        <v>100</v>
      </c>
      <c r="M342" s="831">
        <v>100</v>
      </c>
      <c r="N342" s="830" t="s">
        <v>4794</v>
      </c>
      <c r="O342" s="830" t="s">
        <v>4794</v>
      </c>
      <c r="P342" s="830" t="s">
        <v>4794</v>
      </c>
      <c r="Q342" s="832">
        <f t="shared" si="4"/>
        <v>500</v>
      </c>
      <c r="R342" s="833" t="s">
        <v>4025</v>
      </c>
      <c r="S342" s="834"/>
      <c r="T342" s="850"/>
      <c r="U342" s="850"/>
      <c r="V342" s="850"/>
      <c r="W342" s="850"/>
      <c r="X342" s="850"/>
      <c r="Y342" s="850"/>
      <c r="Z342" s="850"/>
      <c r="AA342" s="850"/>
      <c r="AB342" s="850"/>
      <c r="AC342" s="850"/>
      <c r="AD342" s="850"/>
      <c r="AE342" s="850"/>
      <c r="AF342" s="835"/>
    </row>
    <row r="343" spans="1:32" ht="31.5">
      <c r="A343" s="827">
        <v>320</v>
      </c>
      <c r="B343" s="828" t="s">
        <v>100</v>
      </c>
      <c r="C343" s="828" t="s">
        <v>191</v>
      </c>
      <c r="D343" s="829" t="s">
        <v>192</v>
      </c>
      <c r="E343" s="831">
        <v>100</v>
      </c>
      <c r="F343" s="830" t="s">
        <v>4794</v>
      </c>
      <c r="G343" s="830" t="s">
        <v>4794</v>
      </c>
      <c r="H343" s="831">
        <v>100</v>
      </c>
      <c r="I343" s="831">
        <v>100</v>
      </c>
      <c r="J343" s="830" t="s">
        <v>4794</v>
      </c>
      <c r="K343" s="830" t="s">
        <v>4794</v>
      </c>
      <c r="L343" s="831">
        <v>100</v>
      </c>
      <c r="M343" s="830" t="s">
        <v>4794</v>
      </c>
      <c r="N343" s="830" t="s">
        <v>4794</v>
      </c>
      <c r="O343" s="831">
        <v>100</v>
      </c>
      <c r="P343" s="830" t="s">
        <v>4794</v>
      </c>
      <c r="Q343" s="832">
        <f t="shared" si="4"/>
        <v>500</v>
      </c>
      <c r="R343" s="833" t="s">
        <v>4025</v>
      </c>
      <c r="S343" s="836"/>
      <c r="T343" s="852"/>
      <c r="U343" s="852"/>
      <c r="V343" s="861"/>
      <c r="W343" s="861"/>
      <c r="X343" s="861"/>
      <c r="Y343" s="861"/>
      <c r="Z343" s="861"/>
      <c r="AA343" s="861"/>
      <c r="AB343" s="861"/>
      <c r="AC343" s="861"/>
      <c r="AD343" s="861"/>
      <c r="AE343" s="861"/>
      <c r="AF343" s="835"/>
    </row>
    <row r="344" spans="1:32" ht="31.5">
      <c r="A344" s="827">
        <v>321</v>
      </c>
      <c r="B344" s="828" t="s">
        <v>100</v>
      </c>
      <c r="C344" s="828" t="s">
        <v>193</v>
      </c>
      <c r="D344" s="829" t="s">
        <v>194</v>
      </c>
      <c r="E344" s="830" t="s">
        <v>4794</v>
      </c>
      <c r="F344" s="831">
        <v>100</v>
      </c>
      <c r="G344" s="830" t="s">
        <v>4794</v>
      </c>
      <c r="H344" s="830" t="s">
        <v>4794</v>
      </c>
      <c r="I344" s="830" t="s">
        <v>4794</v>
      </c>
      <c r="J344" s="830" t="s">
        <v>4794</v>
      </c>
      <c r="K344" s="830" t="s">
        <v>4794</v>
      </c>
      <c r="L344" s="830" t="s">
        <v>4794</v>
      </c>
      <c r="M344" s="830" t="s">
        <v>4794</v>
      </c>
      <c r="N344" s="831">
        <v>100</v>
      </c>
      <c r="O344" s="830" t="s">
        <v>4794</v>
      </c>
      <c r="P344" s="830" t="s">
        <v>4794</v>
      </c>
      <c r="Q344" s="832">
        <f t="shared" si="4"/>
        <v>200</v>
      </c>
      <c r="R344" s="833" t="s">
        <v>4025</v>
      </c>
      <c r="S344" s="834"/>
      <c r="T344" s="850"/>
      <c r="U344" s="850"/>
      <c r="V344" s="850"/>
      <c r="W344" s="850"/>
      <c r="X344" s="850"/>
      <c r="Y344" s="850"/>
      <c r="Z344" s="850"/>
      <c r="AA344" s="850"/>
      <c r="AB344" s="850"/>
      <c r="AC344" s="850"/>
      <c r="AD344" s="850"/>
      <c r="AE344" s="850"/>
      <c r="AF344" s="835"/>
    </row>
    <row r="345" spans="1:32" ht="31.5">
      <c r="A345" s="827">
        <v>322</v>
      </c>
      <c r="B345" s="828" t="s">
        <v>100</v>
      </c>
      <c r="C345" s="828" t="s">
        <v>195</v>
      </c>
      <c r="D345" s="829" t="s">
        <v>196</v>
      </c>
      <c r="E345" s="830" t="s">
        <v>4794</v>
      </c>
      <c r="F345" s="831">
        <v>100</v>
      </c>
      <c r="G345" s="830" t="s">
        <v>4794</v>
      </c>
      <c r="H345" s="830" t="s">
        <v>4794</v>
      </c>
      <c r="I345" s="830" t="s">
        <v>4794</v>
      </c>
      <c r="J345" s="831">
        <v>100</v>
      </c>
      <c r="K345" s="830" t="s">
        <v>4794</v>
      </c>
      <c r="L345" s="830" t="s">
        <v>4794</v>
      </c>
      <c r="M345" s="831">
        <v>100</v>
      </c>
      <c r="N345" s="830" t="s">
        <v>4794</v>
      </c>
      <c r="O345" s="830" t="s">
        <v>4794</v>
      </c>
      <c r="P345" s="830" t="s">
        <v>4794</v>
      </c>
      <c r="Q345" s="832">
        <f t="shared" si="4"/>
        <v>300</v>
      </c>
      <c r="R345" s="833" t="s">
        <v>4025</v>
      </c>
      <c r="S345" s="836"/>
      <c r="T345" s="852"/>
      <c r="U345" s="852"/>
      <c r="V345" s="862"/>
      <c r="W345" s="862"/>
      <c r="X345" s="862"/>
      <c r="Y345" s="861"/>
      <c r="Z345" s="861"/>
      <c r="AA345" s="861"/>
      <c r="AB345" s="862"/>
      <c r="AC345" s="862"/>
      <c r="AD345" s="862"/>
      <c r="AE345" s="862"/>
      <c r="AF345" s="835"/>
    </row>
    <row r="346" spans="1:32" ht="31.5">
      <c r="A346" s="827">
        <v>323</v>
      </c>
      <c r="B346" s="828" t="s">
        <v>100</v>
      </c>
      <c r="C346" s="828" t="s">
        <v>197</v>
      </c>
      <c r="D346" s="829" t="s">
        <v>198</v>
      </c>
      <c r="E346" s="831">
        <v>100</v>
      </c>
      <c r="F346" s="830" t="s">
        <v>4794</v>
      </c>
      <c r="G346" s="830" t="s">
        <v>4794</v>
      </c>
      <c r="H346" s="830" t="s">
        <v>4794</v>
      </c>
      <c r="I346" s="830" t="s">
        <v>4794</v>
      </c>
      <c r="J346" s="830" t="s">
        <v>4794</v>
      </c>
      <c r="K346" s="830" t="s">
        <v>4794</v>
      </c>
      <c r="L346" s="830" t="s">
        <v>4794</v>
      </c>
      <c r="M346" s="830" t="s">
        <v>4794</v>
      </c>
      <c r="N346" s="830" t="s">
        <v>4794</v>
      </c>
      <c r="O346" s="831">
        <v>100</v>
      </c>
      <c r="P346" s="830" t="s">
        <v>4794</v>
      </c>
      <c r="Q346" s="832">
        <f t="shared" si="4"/>
        <v>200</v>
      </c>
      <c r="R346" s="833" t="s">
        <v>4025</v>
      </c>
      <c r="S346" s="834"/>
      <c r="T346" s="850"/>
      <c r="U346" s="850"/>
      <c r="V346" s="850"/>
      <c r="W346" s="850"/>
      <c r="X346" s="850"/>
      <c r="Y346" s="850"/>
      <c r="Z346" s="850"/>
      <c r="AA346" s="850"/>
      <c r="AB346" s="850"/>
      <c r="AC346" s="850"/>
      <c r="AD346" s="850"/>
      <c r="AE346" s="850"/>
      <c r="AF346" s="835"/>
    </row>
    <row r="347" spans="1:32" ht="31.5">
      <c r="A347" s="827">
        <v>324</v>
      </c>
      <c r="B347" s="828" t="s">
        <v>100</v>
      </c>
      <c r="C347" s="828" t="s">
        <v>199</v>
      </c>
      <c r="D347" s="829" t="s">
        <v>200</v>
      </c>
      <c r="E347" s="830" t="s">
        <v>4794</v>
      </c>
      <c r="F347" s="830" t="s">
        <v>4794</v>
      </c>
      <c r="G347" s="831">
        <v>100</v>
      </c>
      <c r="H347" s="830" t="s">
        <v>4794</v>
      </c>
      <c r="I347" s="831">
        <v>100</v>
      </c>
      <c r="J347" s="830" t="s">
        <v>4794</v>
      </c>
      <c r="K347" s="830" t="s">
        <v>4794</v>
      </c>
      <c r="L347" s="830" t="s">
        <v>4794</v>
      </c>
      <c r="M347" s="830" t="s">
        <v>4794</v>
      </c>
      <c r="N347" s="830" t="s">
        <v>4794</v>
      </c>
      <c r="O347" s="830" t="s">
        <v>4794</v>
      </c>
      <c r="P347" s="830" t="s">
        <v>4794</v>
      </c>
      <c r="Q347" s="832">
        <f t="shared" si="4"/>
        <v>200</v>
      </c>
      <c r="R347" s="833" t="s">
        <v>4025</v>
      </c>
      <c r="S347" s="836"/>
      <c r="T347" s="852"/>
      <c r="U347" s="852"/>
      <c r="V347" s="862"/>
      <c r="W347" s="862"/>
      <c r="X347" s="862"/>
      <c r="Y347" s="861"/>
      <c r="Z347" s="861"/>
      <c r="AA347" s="861"/>
      <c r="AB347" s="862"/>
      <c r="AC347" s="862"/>
      <c r="AD347" s="862"/>
      <c r="AE347" s="862"/>
      <c r="AF347" s="835"/>
    </row>
    <row r="348" spans="1:32" ht="31.5">
      <c r="A348" s="827">
        <v>325</v>
      </c>
      <c r="B348" s="828" t="s">
        <v>100</v>
      </c>
      <c r="C348" s="828" t="s">
        <v>201</v>
      </c>
      <c r="D348" s="829" t="s">
        <v>202</v>
      </c>
      <c r="E348" s="830" t="s">
        <v>4794</v>
      </c>
      <c r="F348" s="831">
        <v>100</v>
      </c>
      <c r="G348" s="830" t="s">
        <v>4794</v>
      </c>
      <c r="H348" s="831">
        <v>100</v>
      </c>
      <c r="I348" s="831">
        <v>100</v>
      </c>
      <c r="J348" s="830" t="s">
        <v>4794</v>
      </c>
      <c r="K348" s="830" t="s">
        <v>4794</v>
      </c>
      <c r="L348" s="831">
        <v>100</v>
      </c>
      <c r="M348" s="830" t="s">
        <v>4794</v>
      </c>
      <c r="N348" s="831">
        <v>100</v>
      </c>
      <c r="O348" s="830" t="s">
        <v>4794</v>
      </c>
      <c r="P348" s="830" t="s">
        <v>4794</v>
      </c>
      <c r="Q348" s="832">
        <f t="shared" si="4"/>
        <v>500</v>
      </c>
      <c r="R348" s="833" t="s">
        <v>4025</v>
      </c>
      <c r="S348" s="834"/>
      <c r="T348" s="850"/>
      <c r="U348" s="850"/>
      <c r="V348" s="850"/>
      <c r="W348" s="850"/>
      <c r="X348" s="850"/>
      <c r="Y348" s="850"/>
      <c r="Z348" s="850"/>
      <c r="AA348" s="850"/>
      <c r="AB348" s="850"/>
      <c r="AC348" s="850"/>
      <c r="AD348" s="850"/>
      <c r="AE348" s="850"/>
      <c r="AF348" s="835"/>
    </row>
    <row r="349" spans="1:32" ht="31.5">
      <c r="A349" s="827">
        <v>326</v>
      </c>
      <c r="B349" s="828" t="s">
        <v>100</v>
      </c>
      <c r="C349" s="828" t="s">
        <v>203</v>
      </c>
      <c r="D349" s="829" t="s">
        <v>204</v>
      </c>
      <c r="E349" s="830" t="s">
        <v>4794</v>
      </c>
      <c r="F349" s="831">
        <v>100</v>
      </c>
      <c r="G349" s="831">
        <v>100</v>
      </c>
      <c r="H349" s="830" t="s">
        <v>4794</v>
      </c>
      <c r="I349" s="830" t="s">
        <v>4794</v>
      </c>
      <c r="J349" s="831">
        <v>100</v>
      </c>
      <c r="K349" s="831">
        <v>100</v>
      </c>
      <c r="L349" s="830" t="s">
        <v>4794</v>
      </c>
      <c r="M349" s="831">
        <v>100</v>
      </c>
      <c r="N349" s="830" t="s">
        <v>4794</v>
      </c>
      <c r="O349" s="830" t="s">
        <v>4794</v>
      </c>
      <c r="P349" s="830" t="s">
        <v>4794</v>
      </c>
      <c r="Q349" s="832">
        <f t="shared" si="4"/>
        <v>500</v>
      </c>
      <c r="R349" s="833" t="s">
        <v>4025</v>
      </c>
      <c r="S349" s="834"/>
      <c r="T349" s="850"/>
      <c r="U349" s="850"/>
      <c r="V349" s="850"/>
      <c r="W349" s="850"/>
      <c r="X349" s="850"/>
      <c r="Y349" s="850"/>
      <c r="Z349" s="850"/>
      <c r="AA349" s="850"/>
      <c r="AB349" s="850"/>
      <c r="AC349" s="850"/>
      <c r="AD349" s="850"/>
      <c r="AE349" s="850"/>
      <c r="AF349" s="835"/>
    </row>
    <row r="350" spans="1:32" ht="31.5">
      <c r="A350" s="827">
        <v>327</v>
      </c>
      <c r="B350" s="828" t="s">
        <v>100</v>
      </c>
      <c r="C350" s="828" t="s">
        <v>205</v>
      </c>
      <c r="D350" s="829" t="s">
        <v>206</v>
      </c>
      <c r="E350" s="830" t="s">
        <v>4794</v>
      </c>
      <c r="F350" s="830" t="s">
        <v>4794</v>
      </c>
      <c r="G350" s="831">
        <v>1</v>
      </c>
      <c r="H350" s="830" t="s">
        <v>4794</v>
      </c>
      <c r="I350" s="830" t="s">
        <v>4794</v>
      </c>
      <c r="J350" s="831">
        <v>1</v>
      </c>
      <c r="K350" s="830" t="s">
        <v>4794</v>
      </c>
      <c r="L350" s="830" t="s">
        <v>4794</v>
      </c>
      <c r="M350" s="830" t="s">
        <v>4794</v>
      </c>
      <c r="N350" s="830" t="s">
        <v>4794</v>
      </c>
      <c r="O350" s="830" t="s">
        <v>4794</v>
      </c>
      <c r="P350" s="830" t="s">
        <v>4794</v>
      </c>
      <c r="Q350" s="832">
        <f t="shared" si="4"/>
        <v>2</v>
      </c>
      <c r="R350" s="833" t="s">
        <v>3714</v>
      </c>
      <c r="S350" s="834"/>
      <c r="T350" s="850"/>
      <c r="U350" s="850"/>
      <c r="V350" s="850"/>
      <c r="W350" s="850"/>
      <c r="X350" s="850"/>
      <c r="Y350" s="850"/>
      <c r="Z350" s="850"/>
      <c r="AA350" s="850"/>
      <c r="AB350" s="850"/>
      <c r="AC350" s="850"/>
      <c r="AD350" s="850"/>
      <c r="AE350" s="850"/>
      <c r="AF350" s="835"/>
    </row>
    <row r="351" spans="1:32" ht="31.5">
      <c r="A351" s="827">
        <v>328</v>
      </c>
      <c r="B351" s="828" t="s">
        <v>100</v>
      </c>
      <c r="C351" s="828" t="s">
        <v>207</v>
      </c>
      <c r="D351" s="829" t="s">
        <v>208</v>
      </c>
      <c r="E351" s="830" t="s">
        <v>4794</v>
      </c>
      <c r="F351" s="830" t="s">
        <v>4794</v>
      </c>
      <c r="G351" s="831">
        <v>2</v>
      </c>
      <c r="H351" s="830" t="s">
        <v>4794</v>
      </c>
      <c r="I351" s="830" t="s">
        <v>4794</v>
      </c>
      <c r="J351" s="831">
        <v>2</v>
      </c>
      <c r="K351" s="830" t="s">
        <v>4794</v>
      </c>
      <c r="L351" s="830" t="s">
        <v>4794</v>
      </c>
      <c r="M351" s="830" t="s">
        <v>4794</v>
      </c>
      <c r="N351" s="830" t="s">
        <v>4794</v>
      </c>
      <c r="O351" s="830" t="s">
        <v>4794</v>
      </c>
      <c r="P351" s="830" t="s">
        <v>4794</v>
      </c>
      <c r="Q351" s="832">
        <f t="shared" si="4"/>
        <v>4</v>
      </c>
      <c r="R351" s="833" t="s">
        <v>3714</v>
      </c>
      <c r="S351" s="834"/>
      <c r="T351" s="850"/>
      <c r="U351" s="850"/>
      <c r="V351" s="850"/>
      <c r="W351" s="850"/>
      <c r="X351" s="850"/>
      <c r="Y351" s="850"/>
      <c r="Z351" s="850"/>
      <c r="AA351" s="850"/>
      <c r="AB351" s="850"/>
      <c r="AC351" s="850"/>
      <c r="AD351" s="850"/>
      <c r="AE351" s="850"/>
      <c r="AF351" s="835"/>
    </row>
    <row r="352" spans="1:32" ht="31.5">
      <c r="A352" s="827">
        <v>329</v>
      </c>
      <c r="B352" s="828" t="s">
        <v>100</v>
      </c>
      <c r="C352" s="828" t="s">
        <v>209</v>
      </c>
      <c r="D352" s="829" t="s">
        <v>210</v>
      </c>
      <c r="E352" s="831">
        <v>100</v>
      </c>
      <c r="F352" s="830" t="s">
        <v>4794</v>
      </c>
      <c r="G352" s="830" t="s">
        <v>4794</v>
      </c>
      <c r="H352" s="830" t="s">
        <v>4794</v>
      </c>
      <c r="I352" s="831">
        <v>100</v>
      </c>
      <c r="J352" s="830" t="s">
        <v>4794</v>
      </c>
      <c r="K352" s="830" t="s">
        <v>4794</v>
      </c>
      <c r="L352" s="831">
        <v>100</v>
      </c>
      <c r="M352" s="830" t="s">
        <v>4794</v>
      </c>
      <c r="N352" s="830" t="s">
        <v>4794</v>
      </c>
      <c r="O352" s="830" t="s">
        <v>4794</v>
      </c>
      <c r="P352" s="830" t="s">
        <v>4794</v>
      </c>
      <c r="Q352" s="832">
        <f t="shared" si="4"/>
        <v>300</v>
      </c>
      <c r="R352" s="833" t="s">
        <v>4025</v>
      </c>
      <c r="S352" s="836"/>
      <c r="T352" s="852"/>
      <c r="U352" s="852"/>
      <c r="V352" s="862"/>
      <c r="W352" s="862"/>
      <c r="X352" s="862"/>
      <c r="Y352" s="862"/>
      <c r="Z352" s="862"/>
      <c r="AA352" s="862"/>
      <c r="AB352" s="862"/>
      <c r="AC352" s="862"/>
      <c r="AD352" s="862"/>
      <c r="AE352" s="862"/>
      <c r="AF352" s="835"/>
    </row>
    <row r="353" spans="1:32" ht="31.5">
      <c r="A353" s="827">
        <v>330</v>
      </c>
      <c r="B353" s="828" t="s">
        <v>100</v>
      </c>
      <c r="C353" s="828" t="s">
        <v>211</v>
      </c>
      <c r="D353" s="829" t="s">
        <v>212</v>
      </c>
      <c r="E353" s="830" t="s">
        <v>4794</v>
      </c>
      <c r="F353" s="830" t="s">
        <v>4794</v>
      </c>
      <c r="G353" s="831">
        <v>1</v>
      </c>
      <c r="H353" s="830" t="s">
        <v>4794</v>
      </c>
      <c r="I353" s="830" t="s">
        <v>4794</v>
      </c>
      <c r="J353" s="831">
        <v>1</v>
      </c>
      <c r="K353" s="830" t="s">
        <v>4794</v>
      </c>
      <c r="L353" s="831">
        <v>1</v>
      </c>
      <c r="M353" s="830" t="s">
        <v>4794</v>
      </c>
      <c r="N353" s="830" t="s">
        <v>4794</v>
      </c>
      <c r="O353" s="830" t="s">
        <v>4794</v>
      </c>
      <c r="P353" s="830" t="s">
        <v>4794</v>
      </c>
      <c r="Q353" s="832">
        <f t="shared" si="4"/>
        <v>3</v>
      </c>
      <c r="R353" s="833" t="s">
        <v>3714</v>
      </c>
      <c r="S353" s="834"/>
      <c r="T353" s="850"/>
      <c r="U353" s="850"/>
      <c r="V353" s="850"/>
      <c r="W353" s="850"/>
      <c r="X353" s="850"/>
      <c r="Y353" s="850"/>
      <c r="Z353" s="850"/>
      <c r="AA353" s="850"/>
      <c r="AB353" s="850"/>
      <c r="AC353" s="850"/>
      <c r="AD353" s="850"/>
      <c r="AE353" s="850"/>
      <c r="AF353" s="835"/>
    </row>
    <row r="354" spans="1:32" ht="31.5">
      <c r="A354" s="827">
        <v>331</v>
      </c>
      <c r="B354" s="828" t="s">
        <v>100</v>
      </c>
      <c r="C354" s="828" t="s">
        <v>213</v>
      </c>
      <c r="D354" s="829" t="s">
        <v>214</v>
      </c>
      <c r="E354" s="830" t="s">
        <v>4794</v>
      </c>
      <c r="F354" s="831">
        <v>100</v>
      </c>
      <c r="G354" s="830" t="s">
        <v>4794</v>
      </c>
      <c r="H354" s="830" t="s">
        <v>4794</v>
      </c>
      <c r="I354" s="830" t="s">
        <v>4794</v>
      </c>
      <c r="J354" s="830" t="s">
        <v>4794</v>
      </c>
      <c r="K354" s="830" t="s">
        <v>4794</v>
      </c>
      <c r="L354" s="831">
        <v>100</v>
      </c>
      <c r="M354" s="830" t="s">
        <v>4794</v>
      </c>
      <c r="N354" s="830" t="s">
        <v>4794</v>
      </c>
      <c r="O354" s="831">
        <v>100</v>
      </c>
      <c r="P354" s="830" t="s">
        <v>4794</v>
      </c>
      <c r="Q354" s="832">
        <f t="shared" si="4"/>
        <v>300</v>
      </c>
      <c r="R354" s="833" t="s">
        <v>4025</v>
      </c>
      <c r="S354" s="834"/>
      <c r="T354" s="850"/>
      <c r="U354" s="850"/>
      <c r="V354" s="850"/>
      <c r="W354" s="850"/>
      <c r="X354" s="850"/>
      <c r="Y354" s="850"/>
      <c r="Z354" s="850"/>
      <c r="AA354" s="850"/>
      <c r="AB354" s="850"/>
      <c r="AC354" s="850"/>
      <c r="AD354" s="850"/>
      <c r="AE354" s="850"/>
      <c r="AF354" s="835"/>
    </row>
    <row r="355" spans="1:32" ht="31.5">
      <c r="A355" s="827">
        <v>332</v>
      </c>
      <c r="B355" s="828" t="s">
        <v>100</v>
      </c>
      <c r="C355" s="828" t="s">
        <v>215</v>
      </c>
      <c r="D355" s="829" t="s">
        <v>216</v>
      </c>
      <c r="E355" s="830" t="s">
        <v>4794</v>
      </c>
      <c r="F355" s="830" t="s">
        <v>4794</v>
      </c>
      <c r="G355" s="831">
        <v>100</v>
      </c>
      <c r="H355" s="830" t="s">
        <v>4794</v>
      </c>
      <c r="I355" s="830" t="s">
        <v>4794</v>
      </c>
      <c r="J355" s="830" t="s">
        <v>4794</v>
      </c>
      <c r="K355" s="831">
        <v>100</v>
      </c>
      <c r="L355" s="830" t="s">
        <v>4794</v>
      </c>
      <c r="M355" s="830" t="s">
        <v>4794</v>
      </c>
      <c r="N355" s="830" t="s">
        <v>4794</v>
      </c>
      <c r="O355" s="831">
        <v>100</v>
      </c>
      <c r="P355" s="830" t="s">
        <v>4794</v>
      </c>
      <c r="Q355" s="832">
        <f t="shared" si="4"/>
        <v>300</v>
      </c>
      <c r="R355" s="833" t="s">
        <v>4025</v>
      </c>
      <c r="S355" s="834"/>
      <c r="T355" s="850"/>
      <c r="U355" s="850"/>
      <c r="V355" s="850"/>
      <c r="W355" s="850"/>
      <c r="X355" s="850"/>
      <c r="Y355" s="850"/>
      <c r="Z355" s="850"/>
      <c r="AA355" s="850"/>
      <c r="AB355" s="850"/>
      <c r="AC355" s="850"/>
      <c r="AD355" s="850"/>
      <c r="AE355" s="850"/>
      <c r="AF355" s="835"/>
    </row>
    <row r="356" spans="1:32" ht="21">
      <c r="A356" s="827">
        <v>333</v>
      </c>
      <c r="B356" s="828" t="s">
        <v>100</v>
      </c>
      <c r="C356" s="828" t="s">
        <v>217</v>
      </c>
      <c r="D356" s="829" t="s">
        <v>218</v>
      </c>
      <c r="E356" s="830" t="s">
        <v>4794</v>
      </c>
      <c r="F356" s="830" t="s">
        <v>4794</v>
      </c>
      <c r="G356" s="830"/>
      <c r="H356" s="830" t="s">
        <v>4794</v>
      </c>
      <c r="I356" s="830" t="s">
        <v>4794</v>
      </c>
      <c r="J356" s="830" t="s">
        <v>4794</v>
      </c>
      <c r="K356" s="830" t="s">
        <v>4794</v>
      </c>
      <c r="L356" s="831">
        <v>0.5</v>
      </c>
      <c r="M356" s="830" t="s">
        <v>4794</v>
      </c>
      <c r="N356" s="830" t="s">
        <v>4794</v>
      </c>
      <c r="O356" s="830" t="s">
        <v>4794</v>
      </c>
      <c r="P356" s="830" t="s">
        <v>4794</v>
      </c>
      <c r="Q356" s="832">
        <f t="shared" si="4"/>
        <v>0.5</v>
      </c>
      <c r="R356" s="833" t="s">
        <v>3714</v>
      </c>
      <c r="S356" s="836"/>
      <c r="T356" s="852"/>
      <c r="U356" s="852"/>
      <c r="V356" s="862"/>
      <c r="W356" s="862"/>
      <c r="X356" s="862"/>
      <c r="Y356" s="862"/>
      <c r="Z356" s="862"/>
      <c r="AA356" s="862"/>
      <c r="AB356" s="862"/>
      <c r="AC356" s="862"/>
      <c r="AD356" s="862"/>
      <c r="AE356" s="862"/>
      <c r="AF356" s="835"/>
    </row>
    <row r="357" spans="1:32" ht="21">
      <c r="A357" s="827">
        <v>334</v>
      </c>
      <c r="B357" s="828" t="s">
        <v>100</v>
      </c>
      <c r="C357" s="828" t="s">
        <v>219</v>
      </c>
      <c r="D357" s="829" t="s">
        <v>220</v>
      </c>
      <c r="E357" s="830"/>
      <c r="F357" s="830"/>
      <c r="G357" s="830"/>
      <c r="H357" s="831">
        <v>10</v>
      </c>
      <c r="I357" s="831">
        <v>10</v>
      </c>
      <c r="J357" s="831">
        <v>10</v>
      </c>
      <c r="K357" s="831">
        <v>10</v>
      </c>
      <c r="L357" s="831">
        <v>10</v>
      </c>
      <c r="M357" s="830"/>
      <c r="N357" s="831">
        <v>10</v>
      </c>
      <c r="O357" s="830"/>
      <c r="P357" s="830"/>
      <c r="Q357" s="832">
        <f t="shared" si="4"/>
        <v>60</v>
      </c>
      <c r="R357" s="833" t="s">
        <v>4025</v>
      </c>
      <c r="S357" s="834"/>
      <c r="T357" s="850"/>
      <c r="U357" s="850"/>
      <c r="V357" s="850"/>
      <c r="W357" s="850"/>
      <c r="X357" s="850"/>
      <c r="Y357" s="850"/>
      <c r="Z357" s="850"/>
      <c r="AA357" s="850"/>
      <c r="AB357" s="850"/>
      <c r="AC357" s="850"/>
      <c r="AD357" s="850"/>
      <c r="AE357" s="850"/>
      <c r="AF357" s="835"/>
    </row>
    <row r="358" spans="1:32" ht="21.75">
      <c r="A358" s="827">
        <v>335</v>
      </c>
      <c r="B358" s="828" t="s">
        <v>100</v>
      </c>
      <c r="C358" s="863">
        <v>3413084</v>
      </c>
      <c r="D358" s="863" t="s">
        <v>221</v>
      </c>
      <c r="E358" s="830"/>
      <c r="F358" s="830"/>
      <c r="G358" s="831">
        <v>10</v>
      </c>
      <c r="H358" s="830"/>
      <c r="I358" s="831">
        <v>10</v>
      </c>
      <c r="J358" s="830"/>
      <c r="K358" s="830"/>
      <c r="L358" s="831">
        <v>10</v>
      </c>
      <c r="M358" s="830"/>
      <c r="N358" s="831">
        <v>10</v>
      </c>
      <c r="O358" s="830"/>
      <c r="P358" s="830"/>
      <c r="Q358" s="832">
        <f t="shared" si="4"/>
        <v>40</v>
      </c>
      <c r="R358" s="833" t="s">
        <v>4025</v>
      </c>
      <c r="S358" s="834"/>
      <c r="T358" s="850"/>
      <c r="U358" s="850"/>
      <c r="V358" s="850"/>
      <c r="W358" s="850"/>
      <c r="X358" s="850"/>
      <c r="Y358" s="850"/>
      <c r="Z358" s="850"/>
      <c r="AA358" s="850"/>
      <c r="AB358" s="850"/>
      <c r="AC358" s="850"/>
      <c r="AD358" s="850"/>
      <c r="AE358" s="850"/>
      <c r="AF358" s="835"/>
    </row>
    <row r="359" spans="1:32" ht="32.25">
      <c r="A359" s="827">
        <v>336</v>
      </c>
      <c r="B359" s="828" t="s">
        <v>100</v>
      </c>
      <c r="C359" s="863">
        <v>9103211</v>
      </c>
      <c r="D359" s="863" t="s">
        <v>222</v>
      </c>
      <c r="E359" s="830"/>
      <c r="F359" s="830"/>
      <c r="G359" s="831">
        <v>10</v>
      </c>
      <c r="H359" s="830"/>
      <c r="I359" s="831">
        <v>10</v>
      </c>
      <c r="J359" s="830"/>
      <c r="K359" s="830"/>
      <c r="L359" s="831">
        <v>10</v>
      </c>
      <c r="M359" s="830"/>
      <c r="N359" s="831">
        <v>10</v>
      </c>
      <c r="O359" s="830"/>
      <c r="P359" s="830"/>
      <c r="Q359" s="832">
        <f t="shared" ref="Q359:Q422" si="5">SUM(E359:P359)</f>
        <v>40</v>
      </c>
      <c r="R359" s="833" t="s">
        <v>4025</v>
      </c>
      <c r="S359" s="834"/>
      <c r="T359" s="850"/>
      <c r="U359" s="850"/>
      <c r="V359" s="850"/>
      <c r="W359" s="850"/>
      <c r="X359" s="850"/>
      <c r="Y359" s="850"/>
      <c r="Z359" s="850"/>
      <c r="AA359" s="850"/>
      <c r="AB359" s="850"/>
      <c r="AC359" s="850"/>
      <c r="AD359" s="850"/>
      <c r="AE359" s="850"/>
      <c r="AF359" s="835"/>
    </row>
    <row r="360" spans="1:32" ht="32.25">
      <c r="A360" s="827">
        <v>337</v>
      </c>
      <c r="B360" s="828" t="s">
        <v>100</v>
      </c>
      <c r="C360" s="863">
        <v>9103307</v>
      </c>
      <c r="D360" s="863" t="s">
        <v>223</v>
      </c>
      <c r="E360" s="830"/>
      <c r="F360" s="830"/>
      <c r="G360" s="831">
        <v>10</v>
      </c>
      <c r="H360" s="830"/>
      <c r="I360" s="831">
        <v>10</v>
      </c>
      <c r="J360" s="830"/>
      <c r="K360" s="830"/>
      <c r="L360" s="831">
        <v>10</v>
      </c>
      <c r="M360" s="830"/>
      <c r="N360" s="831">
        <v>10</v>
      </c>
      <c r="O360" s="830"/>
      <c r="P360" s="830"/>
      <c r="Q360" s="832">
        <f t="shared" si="5"/>
        <v>40</v>
      </c>
      <c r="R360" s="833" t="s">
        <v>4025</v>
      </c>
      <c r="S360" s="834"/>
      <c r="T360" s="850"/>
      <c r="U360" s="850"/>
      <c r="V360" s="850"/>
      <c r="W360" s="850"/>
      <c r="X360" s="850"/>
      <c r="Y360" s="850"/>
      <c r="Z360" s="850"/>
      <c r="AA360" s="850"/>
      <c r="AB360" s="850"/>
      <c r="AC360" s="850"/>
      <c r="AD360" s="850"/>
      <c r="AE360" s="850"/>
      <c r="AF360" s="835"/>
    </row>
    <row r="361" spans="1:32" ht="32.25">
      <c r="A361" s="827">
        <v>338</v>
      </c>
      <c r="B361" s="828" t="s">
        <v>100</v>
      </c>
      <c r="C361" s="863">
        <v>3413086</v>
      </c>
      <c r="D361" s="863" t="s">
        <v>224</v>
      </c>
      <c r="E361" s="830"/>
      <c r="F361" s="830"/>
      <c r="G361" s="831">
        <v>10</v>
      </c>
      <c r="H361" s="830"/>
      <c r="I361" s="831">
        <v>10</v>
      </c>
      <c r="J361" s="830"/>
      <c r="K361" s="830"/>
      <c r="L361" s="831">
        <v>10</v>
      </c>
      <c r="M361" s="830"/>
      <c r="N361" s="831">
        <v>10</v>
      </c>
      <c r="O361" s="830"/>
      <c r="P361" s="830"/>
      <c r="Q361" s="832">
        <f t="shared" si="5"/>
        <v>40</v>
      </c>
      <c r="R361" s="833" t="s">
        <v>4025</v>
      </c>
      <c r="S361" s="834"/>
      <c r="T361" s="850"/>
      <c r="U361" s="850"/>
      <c r="V361" s="850"/>
      <c r="W361" s="850"/>
      <c r="X361" s="850"/>
      <c r="Y361" s="850"/>
      <c r="Z361" s="850"/>
      <c r="AA361" s="850"/>
      <c r="AB361" s="850"/>
      <c r="AC361" s="850"/>
      <c r="AD361" s="850"/>
      <c r="AE361" s="850"/>
      <c r="AF361" s="835"/>
    </row>
    <row r="362" spans="1:32" ht="32.25">
      <c r="A362" s="827">
        <v>339</v>
      </c>
      <c r="B362" s="828" t="s">
        <v>100</v>
      </c>
      <c r="C362" s="863">
        <v>3413083</v>
      </c>
      <c r="D362" s="863" t="s">
        <v>225</v>
      </c>
      <c r="E362" s="830"/>
      <c r="F362" s="830"/>
      <c r="G362" s="831">
        <v>10</v>
      </c>
      <c r="H362" s="830"/>
      <c r="I362" s="831">
        <v>10</v>
      </c>
      <c r="J362" s="830"/>
      <c r="K362" s="830"/>
      <c r="L362" s="831">
        <v>10</v>
      </c>
      <c r="M362" s="830"/>
      <c r="N362" s="831">
        <v>10</v>
      </c>
      <c r="O362" s="830"/>
      <c r="P362" s="830"/>
      <c r="Q362" s="832">
        <f t="shared" si="5"/>
        <v>40</v>
      </c>
      <c r="R362" s="833" t="s">
        <v>4025</v>
      </c>
      <c r="S362" s="834"/>
      <c r="T362" s="850"/>
      <c r="U362" s="850"/>
      <c r="V362" s="850"/>
      <c r="W362" s="850"/>
      <c r="X362" s="850"/>
      <c r="Y362" s="850"/>
      <c r="Z362" s="850"/>
      <c r="AA362" s="850"/>
      <c r="AB362" s="850"/>
      <c r="AC362" s="850"/>
      <c r="AD362" s="850"/>
      <c r="AE362" s="850"/>
      <c r="AF362" s="835"/>
    </row>
    <row r="363" spans="1:32" ht="32.25">
      <c r="A363" s="827">
        <v>340</v>
      </c>
      <c r="B363" s="828" t="s">
        <v>100</v>
      </c>
      <c r="C363" s="863">
        <v>9106392</v>
      </c>
      <c r="D363" s="863" t="s">
        <v>226</v>
      </c>
      <c r="E363" s="830"/>
      <c r="F363" s="830"/>
      <c r="G363" s="831">
        <v>10</v>
      </c>
      <c r="H363" s="830"/>
      <c r="I363" s="831">
        <v>10</v>
      </c>
      <c r="J363" s="830"/>
      <c r="K363" s="830"/>
      <c r="L363" s="831">
        <v>10</v>
      </c>
      <c r="M363" s="830"/>
      <c r="N363" s="831">
        <v>10</v>
      </c>
      <c r="O363" s="830"/>
      <c r="P363" s="830"/>
      <c r="Q363" s="832">
        <f t="shared" si="5"/>
        <v>40</v>
      </c>
      <c r="R363" s="833" t="s">
        <v>4025</v>
      </c>
      <c r="S363" s="834"/>
      <c r="T363" s="850"/>
      <c r="U363" s="850"/>
      <c r="V363" s="850"/>
      <c r="W363" s="850"/>
      <c r="X363" s="850"/>
      <c r="Y363" s="850"/>
      <c r="Z363" s="850"/>
      <c r="AA363" s="850"/>
      <c r="AB363" s="850"/>
      <c r="AC363" s="850"/>
      <c r="AD363" s="850"/>
      <c r="AE363" s="850"/>
      <c r="AF363" s="835"/>
    </row>
    <row r="364" spans="1:32" ht="21.75">
      <c r="A364" s="827">
        <v>341</v>
      </c>
      <c r="B364" s="828" t="s">
        <v>100</v>
      </c>
      <c r="C364" s="863">
        <v>9103212</v>
      </c>
      <c r="D364" s="863" t="s">
        <v>227</v>
      </c>
      <c r="E364" s="830"/>
      <c r="F364" s="830"/>
      <c r="G364" s="831">
        <v>10</v>
      </c>
      <c r="H364" s="830"/>
      <c r="I364" s="831">
        <v>10</v>
      </c>
      <c r="J364" s="830"/>
      <c r="K364" s="830"/>
      <c r="L364" s="831">
        <v>10</v>
      </c>
      <c r="M364" s="830"/>
      <c r="N364" s="831">
        <v>10</v>
      </c>
      <c r="O364" s="830"/>
      <c r="P364" s="830"/>
      <c r="Q364" s="832">
        <f t="shared" si="5"/>
        <v>40</v>
      </c>
      <c r="R364" s="833" t="s">
        <v>4025</v>
      </c>
      <c r="S364" s="834"/>
      <c r="T364" s="850"/>
      <c r="U364" s="850"/>
      <c r="V364" s="850"/>
      <c r="W364" s="850"/>
      <c r="X364" s="850"/>
      <c r="Y364" s="850"/>
      <c r="Z364" s="850"/>
      <c r="AA364" s="850"/>
      <c r="AB364" s="850"/>
      <c r="AC364" s="850"/>
      <c r="AD364" s="850"/>
      <c r="AE364" s="850"/>
      <c r="AF364" s="835"/>
    </row>
    <row r="365" spans="1:32" ht="21">
      <c r="A365" s="827">
        <v>342</v>
      </c>
      <c r="B365" s="828" t="s">
        <v>100</v>
      </c>
      <c r="C365" s="828" t="s">
        <v>228</v>
      </c>
      <c r="D365" s="829" t="s">
        <v>229</v>
      </c>
      <c r="E365" s="831">
        <v>1</v>
      </c>
      <c r="F365" s="831">
        <v>1</v>
      </c>
      <c r="G365" s="831">
        <v>1</v>
      </c>
      <c r="H365" s="831">
        <v>1</v>
      </c>
      <c r="I365" s="831">
        <v>1</v>
      </c>
      <c r="J365" s="830"/>
      <c r="K365" s="831">
        <v>1</v>
      </c>
      <c r="L365" s="831">
        <v>1</v>
      </c>
      <c r="M365" s="830"/>
      <c r="N365" s="831">
        <v>1</v>
      </c>
      <c r="O365" s="831">
        <v>1</v>
      </c>
      <c r="P365" s="831">
        <v>1</v>
      </c>
      <c r="Q365" s="832">
        <f t="shared" si="5"/>
        <v>10</v>
      </c>
      <c r="R365" s="833" t="s">
        <v>4025</v>
      </c>
      <c r="S365" s="834"/>
      <c r="T365" s="850"/>
      <c r="U365" s="850"/>
      <c r="V365" s="850"/>
      <c r="W365" s="850"/>
      <c r="X365" s="850"/>
      <c r="Y365" s="850"/>
      <c r="Z365" s="850"/>
      <c r="AA365" s="850"/>
      <c r="AB365" s="850"/>
      <c r="AC365" s="850"/>
      <c r="AD365" s="850"/>
      <c r="AE365" s="850"/>
      <c r="AF365" s="835"/>
    </row>
    <row r="366" spans="1:32" ht="31.5">
      <c r="A366" s="827">
        <v>343</v>
      </c>
      <c r="B366" s="828" t="s">
        <v>100</v>
      </c>
      <c r="C366" s="828" t="s">
        <v>230</v>
      </c>
      <c r="D366" s="829" t="s">
        <v>231</v>
      </c>
      <c r="E366" s="830" t="s">
        <v>4794</v>
      </c>
      <c r="F366" s="830" t="s">
        <v>4794</v>
      </c>
      <c r="G366" s="830" t="s">
        <v>4794</v>
      </c>
      <c r="H366" s="830" t="s">
        <v>4794</v>
      </c>
      <c r="I366" s="830" t="s">
        <v>4794</v>
      </c>
      <c r="J366" s="831">
        <v>100</v>
      </c>
      <c r="K366" s="830" t="s">
        <v>4794</v>
      </c>
      <c r="L366" s="830" t="s">
        <v>4794</v>
      </c>
      <c r="M366" s="830" t="s">
        <v>4794</v>
      </c>
      <c r="N366" s="830" t="s">
        <v>4794</v>
      </c>
      <c r="O366" s="830" t="s">
        <v>4794</v>
      </c>
      <c r="P366" s="830" t="s">
        <v>4794</v>
      </c>
      <c r="Q366" s="832">
        <f t="shared" si="5"/>
        <v>100</v>
      </c>
      <c r="R366" s="833" t="s">
        <v>2261</v>
      </c>
      <c r="S366" s="834"/>
      <c r="T366" s="850"/>
      <c r="U366" s="850"/>
      <c r="V366" s="850"/>
      <c r="W366" s="850"/>
      <c r="X366" s="850"/>
      <c r="Y366" s="850"/>
      <c r="Z366" s="850"/>
      <c r="AA366" s="850"/>
      <c r="AB366" s="850"/>
      <c r="AC366" s="850"/>
      <c r="AD366" s="850"/>
      <c r="AE366" s="850"/>
      <c r="AF366" s="835"/>
    </row>
    <row r="367" spans="1:32" ht="31.5">
      <c r="A367" s="827">
        <v>344</v>
      </c>
      <c r="B367" s="828" t="s">
        <v>100</v>
      </c>
      <c r="C367" s="828" t="s">
        <v>232</v>
      </c>
      <c r="D367" s="829" t="s">
        <v>233</v>
      </c>
      <c r="E367" s="830" t="s">
        <v>4794</v>
      </c>
      <c r="F367" s="830" t="s">
        <v>4794</v>
      </c>
      <c r="G367" s="830" t="s">
        <v>4794</v>
      </c>
      <c r="H367" s="830" t="s">
        <v>4794</v>
      </c>
      <c r="I367" s="830"/>
      <c r="J367" s="830" t="s">
        <v>4794</v>
      </c>
      <c r="K367" s="831">
        <v>100</v>
      </c>
      <c r="L367" s="830"/>
      <c r="M367" s="830"/>
      <c r="N367" s="830" t="s">
        <v>4794</v>
      </c>
      <c r="O367" s="830" t="s">
        <v>4794</v>
      </c>
      <c r="P367" s="830" t="s">
        <v>4794</v>
      </c>
      <c r="Q367" s="832">
        <f t="shared" si="5"/>
        <v>100</v>
      </c>
      <c r="R367" s="833" t="s">
        <v>2261</v>
      </c>
      <c r="S367" s="834"/>
      <c r="T367" s="850"/>
      <c r="U367" s="850"/>
      <c r="V367" s="850"/>
      <c r="W367" s="850"/>
      <c r="X367" s="850"/>
      <c r="Y367" s="850"/>
      <c r="Z367" s="850"/>
      <c r="AA367" s="850"/>
      <c r="AB367" s="850"/>
      <c r="AC367" s="850"/>
      <c r="AD367" s="850"/>
      <c r="AE367" s="850"/>
      <c r="AF367" s="835"/>
    </row>
    <row r="368" spans="1:32" ht="31.5">
      <c r="A368" s="827">
        <v>345</v>
      </c>
      <c r="B368" s="828" t="s">
        <v>100</v>
      </c>
      <c r="C368" s="828" t="s">
        <v>234</v>
      </c>
      <c r="D368" s="829" t="s">
        <v>235</v>
      </c>
      <c r="E368" s="830" t="s">
        <v>4794</v>
      </c>
      <c r="F368" s="830" t="s">
        <v>4794</v>
      </c>
      <c r="G368" s="830" t="s">
        <v>4794</v>
      </c>
      <c r="H368" s="830" t="s">
        <v>4794</v>
      </c>
      <c r="I368" s="830" t="s">
        <v>4794</v>
      </c>
      <c r="J368" s="830" t="s">
        <v>4794</v>
      </c>
      <c r="K368" s="830" t="s">
        <v>4794</v>
      </c>
      <c r="L368" s="831">
        <v>100</v>
      </c>
      <c r="M368" s="830" t="s">
        <v>4794</v>
      </c>
      <c r="N368" s="830" t="s">
        <v>4794</v>
      </c>
      <c r="O368" s="830" t="s">
        <v>4794</v>
      </c>
      <c r="P368" s="830" t="s">
        <v>4794</v>
      </c>
      <c r="Q368" s="832">
        <f t="shared" si="5"/>
        <v>100</v>
      </c>
      <c r="R368" s="833" t="s">
        <v>236</v>
      </c>
      <c r="S368" s="834"/>
      <c r="T368" s="850"/>
      <c r="U368" s="850"/>
      <c r="V368" s="850"/>
      <c r="W368" s="850"/>
      <c r="X368" s="850"/>
      <c r="Y368" s="850"/>
      <c r="Z368" s="850"/>
      <c r="AA368" s="850"/>
      <c r="AB368" s="850"/>
      <c r="AC368" s="850"/>
      <c r="AD368" s="850"/>
      <c r="AE368" s="850"/>
      <c r="AF368" s="835"/>
    </row>
    <row r="369" spans="1:32" ht="42">
      <c r="A369" s="827">
        <v>346</v>
      </c>
      <c r="B369" s="828" t="s">
        <v>100</v>
      </c>
      <c r="C369" s="828" t="s">
        <v>237</v>
      </c>
      <c r="D369" s="829" t="s">
        <v>238</v>
      </c>
      <c r="E369" s="830" t="s">
        <v>4794</v>
      </c>
      <c r="F369" s="830" t="s">
        <v>4794</v>
      </c>
      <c r="G369" s="830" t="s">
        <v>4794</v>
      </c>
      <c r="H369" s="830"/>
      <c r="I369" s="830" t="s">
        <v>4794</v>
      </c>
      <c r="J369" s="831">
        <v>100</v>
      </c>
      <c r="K369" s="830" t="s">
        <v>4794</v>
      </c>
      <c r="L369" s="830" t="s">
        <v>4794</v>
      </c>
      <c r="M369" s="830" t="s">
        <v>4794</v>
      </c>
      <c r="N369" s="830" t="s">
        <v>4794</v>
      </c>
      <c r="O369" s="830" t="s">
        <v>4794</v>
      </c>
      <c r="P369" s="830" t="s">
        <v>4794</v>
      </c>
      <c r="Q369" s="832">
        <f t="shared" si="5"/>
        <v>100</v>
      </c>
      <c r="R369" s="833" t="s">
        <v>236</v>
      </c>
      <c r="S369" s="836"/>
      <c r="T369" s="852"/>
      <c r="U369" s="852"/>
      <c r="V369" s="861"/>
      <c r="W369" s="862"/>
      <c r="X369" s="862"/>
      <c r="Y369" s="862"/>
      <c r="Z369" s="862"/>
      <c r="AA369" s="862"/>
      <c r="AB369" s="862"/>
      <c r="AC369" s="862"/>
      <c r="AD369" s="862"/>
      <c r="AE369" s="862"/>
      <c r="AF369" s="835"/>
    </row>
    <row r="370" spans="1:32" ht="31.5">
      <c r="A370" s="827">
        <v>347</v>
      </c>
      <c r="B370" s="828" t="s">
        <v>100</v>
      </c>
      <c r="C370" s="828" t="s">
        <v>239</v>
      </c>
      <c r="D370" s="829" t="s">
        <v>240</v>
      </c>
      <c r="E370" s="830" t="s">
        <v>4794</v>
      </c>
      <c r="F370" s="830" t="s">
        <v>4794</v>
      </c>
      <c r="G370" s="830" t="s">
        <v>4794</v>
      </c>
      <c r="H370" s="830" t="s">
        <v>4794</v>
      </c>
      <c r="I370" s="830" t="s">
        <v>4794</v>
      </c>
      <c r="J370" s="830" t="s">
        <v>4794</v>
      </c>
      <c r="K370" s="831">
        <v>100</v>
      </c>
      <c r="L370" s="830" t="s">
        <v>4794</v>
      </c>
      <c r="M370" s="830" t="s">
        <v>4794</v>
      </c>
      <c r="N370" s="830" t="s">
        <v>4794</v>
      </c>
      <c r="O370" s="830" t="s">
        <v>4794</v>
      </c>
      <c r="P370" s="830" t="s">
        <v>4794</v>
      </c>
      <c r="Q370" s="832">
        <f t="shared" si="5"/>
        <v>100</v>
      </c>
      <c r="R370" s="833" t="s">
        <v>236</v>
      </c>
      <c r="S370" s="834"/>
      <c r="T370" s="850"/>
      <c r="U370" s="850"/>
      <c r="V370" s="850"/>
      <c r="W370" s="850"/>
      <c r="X370" s="850"/>
      <c r="Y370" s="850"/>
      <c r="Z370" s="850"/>
      <c r="AA370" s="850"/>
      <c r="AB370" s="850"/>
      <c r="AC370" s="850"/>
      <c r="AD370" s="850"/>
      <c r="AE370" s="850"/>
      <c r="AF370" s="835"/>
    </row>
    <row r="371" spans="1:32" ht="31.5">
      <c r="A371" s="827">
        <v>348</v>
      </c>
      <c r="B371" s="828" t="s">
        <v>100</v>
      </c>
      <c r="C371" s="828" t="s">
        <v>241</v>
      </c>
      <c r="D371" s="829" t="s">
        <v>242</v>
      </c>
      <c r="E371" s="830" t="s">
        <v>4794</v>
      </c>
      <c r="F371" s="830" t="s">
        <v>4794</v>
      </c>
      <c r="G371" s="830" t="s">
        <v>4794</v>
      </c>
      <c r="H371" s="830" t="s">
        <v>4794</v>
      </c>
      <c r="I371" s="830"/>
      <c r="J371" s="831">
        <v>100</v>
      </c>
      <c r="K371" s="830" t="s">
        <v>4794</v>
      </c>
      <c r="L371" s="830" t="s">
        <v>4794</v>
      </c>
      <c r="M371" s="830" t="s">
        <v>4794</v>
      </c>
      <c r="N371" s="830" t="s">
        <v>4794</v>
      </c>
      <c r="O371" s="830" t="s">
        <v>4794</v>
      </c>
      <c r="P371" s="830" t="s">
        <v>4794</v>
      </c>
      <c r="Q371" s="832">
        <f t="shared" si="5"/>
        <v>100</v>
      </c>
      <c r="R371" s="833" t="s">
        <v>236</v>
      </c>
      <c r="S371" s="836"/>
      <c r="T371" s="852"/>
      <c r="U371" s="852"/>
      <c r="V371" s="861"/>
      <c r="W371" s="862"/>
      <c r="X371" s="862"/>
      <c r="Y371" s="862"/>
      <c r="Z371" s="862"/>
      <c r="AA371" s="862"/>
      <c r="AB371" s="862"/>
      <c r="AC371" s="862"/>
      <c r="AD371" s="862"/>
      <c r="AE371" s="862"/>
      <c r="AF371" s="835"/>
    </row>
    <row r="372" spans="1:32" ht="31.5">
      <c r="A372" s="827">
        <v>349</v>
      </c>
      <c r="B372" s="828" t="s">
        <v>100</v>
      </c>
      <c r="C372" s="828" t="s">
        <v>243</v>
      </c>
      <c r="D372" s="829" t="s">
        <v>244</v>
      </c>
      <c r="E372" s="830" t="s">
        <v>4794</v>
      </c>
      <c r="F372" s="830" t="s">
        <v>4794</v>
      </c>
      <c r="G372" s="830" t="s">
        <v>4794</v>
      </c>
      <c r="H372" s="830" t="s">
        <v>4794</v>
      </c>
      <c r="I372" s="830" t="s">
        <v>4794</v>
      </c>
      <c r="J372" s="831">
        <v>100</v>
      </c>
      <c r="K372" s="830" t="s">
        <v>4794</v>
      </c>
      <c r="L372" s="830" t="s">
        <v>4794</v>
      </c>
      <c r="M372" s="830" t="s">
        <v>4794</v>
      </c>
      <c r="N372" s="830" t="s">
        <v>4794</v>
      </c>
      <c r="O372" s="830" t="s">
        <v>4794</v>
      </c>
      <c r="P372" s="830" t="s">
        <v>4794</v>
      </c>
      <c r="Q372" s="832">
        <f t="shared" si="5"/>
        <v>100</v>
      </c>
      <c r="R372" s="833" t="s">
        <v>236</v>
      </c>
      <c r="S372" s="834"/>
      <c r="T372" s="850"/>
      <c r="U372" s="850"/>
      <c r="V372" s="850"/>
      <c r="W372" s="850"/>
      <c r="X372" s="850"/>
      <c r="Y372" s="850"/>
      <c r="Z372" s="850"/>
      <c r="AA372" s="850"/>
      <c r="AB372" s="850"/>
      <c r="AC372" s="850"/>
      <c r="AD372" s="850"/>
      <c r="AE372" s="850"/>
      <c r="AF372" s="835"/>
    </row>
    <row r="373" spans="1:32" ht="42">
      <c r="A373" s="827">
        <v>350</v>
      </c>
      <c r="B373" s="828" t="s">
        <v>100</v>
      </c>
      <c r="C373" s="828" t="s">
        <v>245</v>
      </c>
      <c r="D373" s="829" t="s">
        <v>246</v>
      </c>
      <c r="E373" s="830" t="s">
        <v>4794</v>
      </c>
      <c r="F373" s="830"/>
      <c r="G373" s="830" t="s">
        <v>4794</v>
      </c>
      <c r="H373" s="830" t="s">
        <v>4794</v>
      </c>
      <c r="I373" s="830" t="s">
        <v>4794</v>
      </c>
      <c r="J373" s="831">
        <v>100</v>
      </c>
      <c r="K373" s="830" t="s">
        <v>4794</v>
      </c>
      <c r="L373" s="830" t="s">
        <v>4794</v>
      </c>
      <c r="M373" s="830" t="s">
        <v>4794</v>
      </c>
      <c r="N373" s="830" t="s">
        <v>4794</v>
      </c>
      <c r="O373" s="830" t="s">
        <v>4794</v>
      </c>
      <c r="P373" s="830"/>
      <c r="Q373" s="832">
        <f t="shared" si="5"/>
        <v>100</v>
      </c>
      <c r="R373" s="833" t="s">
        <v>236</v>
      </c>
      <c r="S373" s="834"/>
      <c r="T373" s="850"/>
      <c r="U373" s="850"/>
      <c r="V373" s="850"/>
      <c r="W373" s="850"/>
      <c r="X373" s="850"/>
      <c r="Y373" s="850"/>
      <c r="Z373" s="850"/>
      <c r="AA373" s="850"/>
      <c r="AB373" s="850"/>
      <c r="AC373" s="850"/>
      <c r="AD373" s="850"/>
      <c r="AE373" s="850"/>
      <c r="AF373" s="835"/>
    </row>
    <row r="374" spans="1:32" ht="31.5">
      <c r="A374" s="827">
        <v>351</v>
      </c>
      <c r="B374" s="828" t="s">
        <v>100</v>
      </c>
      <c r="C374" s="828" t="s">
        <v>247</v>
      </c>
      <c r="D374" s="829" t="s">
        <v>248</v>
      </c>
      <c r="E374" s="830" t="s">
        <v>4794</v>
      </c>
      <c r="F374" s="830" t="s">
        <v>4794</v>
      </c>
      <c r="G374" s="830"/>
      <c r="H374" s="830" t="s">
        <v>4794</v>
      </c>
      <c r="I374" s="830"/>
      <c r="J374" s="830" t="s">
        <v>4794</v>
      </c>
      <c r="K374" s="830" t="s">
        <v>4794</v>
      </c>
      <c r="L374" s="830" t="s">
        <v>4794</v>
      </c>
      <c r="M374" s="830" t="s">
        <v>4794</v>
      </c>
      <c r="N374" s="831">
        <v>100</v>
      </c>
      <c r="O374" s="830" t="s">
        <v>4794</v>
      </c>
      <c r="P374" s="830" t="s">
        <v>4794</v>
      </c>
      <c r="Q374" s="832">
        <f t="shared" si="5"/>
        <v>100</v>
      </c>
      <c r="R374" s="833" t="s">
        <v>2261</v>
      </c>
      <c r="S374" s="834"/>
      <c r="T374" s="850"/>
      <c r="U374" s="850"/>
      <c r="V374" s="850"/>
      <c r="W374" s="850"/>
      <c r="X374" s="850"/>
      <c r="Y374" s="850"/>
      <c r="Z374" s="850"/>
      <c r="AA374" s="850"/>
      <c r="AB374" s="850"/>
      <c r="AC374" s="850"/>
      <c r="AD374" s="850"/>
      <c r="AE374" s="850"/>
      <c r="AF374" s="835"/>
    </row>
    <row r="375" spans="1:32" ht="31.5">
      <c r="A375" s="827">
        <v>352</v>
      </c>
      <c r="B375" s="828" t="s">
        <v>100</v>
      </c>
      <c r="C375" s="828" t="s">
        <v>249</v>
      </c>
      <c r="D375" s="829" t="s">
        <v>250</v>
      </c>
      <c r="E375" s="830"/>
      <c r="F375" s="830" t="s">
        <v>4794</v>
      </c>
      <c r="G375" s="830" t="s">
        <v>4794</v>
      </c>
      <c r="H375" s="830" t="s">
        <v>4794</v>
      </c>
      <c r="I375" s="830" t="s">
        <v>4794</v>
      </c>
      <c r="J375" s="830" t="s">
        <v>4794</v>
      </c>
      <c r="K375" s="831">
        <v>100</v>
      </c>
      <c r="L375" s="830" t="s">
        <v>4794</v>
      </c>
      <c r="M375" s="830" t="s">
        <v>4794</v>
      </c>
      <c r="N375" s="830" t="s">
        <v>4794</v>
      </c>
      <c r="O375" s="830" t="s">
        <v>4794</v>
      </c>
      <c r="P375" s="830" t="s">
        <v>4794</v>
      </c>
      <c r="Q375" s="832">
        <f t="shared" si="5"/>
        <v>100</v>
      </c>
      <c r="R375" s="833" t="s">
        <v>2261</v>
      </c>
      <c r="S375" s="834"/>
      <c r="T375" s="850"/>
      <c r="U375" s="850"/>
      <c r="V375" s="850"/>
      <c r="W375" s="850"/>
      <c r="X375" s="850"/>
      <c r="Y375" s="850"/>
      <c r="Z375" s="850"/>
      <c r="AA375" s="850"/>
      <c r="AB375" s="850"/>
      <c r="AC375" s="850"/>
      <c r="AD375" s="850"/>
      <c r="AE375" s="850"/>
      <c r="AF375" s="835"/>
    </row>
    <row r="376" spans="1:32" ht="21">
      <c r="A376" s="827">
        <v>353</v>
      </c>
      <c r="B376" s="828" t="s">
        <v>100</v>
      </c>
      <c r="C376" s="828" t="s">
        <v>251</v>
      </c>
      <c r="D376" s="829" t="s">
        <v>252</v>
      </c>
      <c r="E376" s="830"/>
      <c r="F376" s="830" t="s">
        <v>4794</v>
      </c>
      <c r="G376" s="830" t="s">
        <v>4794</v>
      </c>
      <c r="H376" s="830" t="s">
        <v>4794</v>
      </c>
      <c r="I376" s="830" t="s">
        <v>4794</v>
      </c>
      <c r="J376" s="830" t="s">
        <v>4794</v>
      </c>
      <c r="K376" s="831">
        <v>100</v>
      </c>
      <c r="L376" s="830" t="s">
        <v>4794</v>
      </c>
      <c r="M376" s="830" t="s">
        <v>4794</v>
      </c>
      <c r="N376" s="830" t="s">
        <v>4794</v>
      </c>
      <c r="O376" s="830" t="s">
        <v>4794</v>
      </c>
      <c r="P376" s="830"/>
      <c r="Q376" s="832">
        <f t="shared" si="5"/>
        <v>100</v>
      </c>
      <c r="R376" s="833" t="s">
        <v>2261</v>
      </c>
      <c r="S376" s="834"/>
      <c r="T376" s="850"/>
      <c r="U376" s="850"/>
      <c r="V376" s="850"/>
      <c r="W376" s="850"/>
      <c r="X376" s="850"/>
      <c r="Y376" s="850"/>
      <c r="Z376" s="850"/>
      <c r="AA376" s="850"/>
      <c r="AB376" s="850"/>
      <c r="AC376" s="850"/>
      <c r="AD376" s="850"/>
      <c r="AE376" s="850"/>
      <c r="AF376" s="835"/>
    </row>
    <row r="377" spans="1:32" ht="21">
      <c r="A377" s="827">
        <v>354</v>
      </c>
      <c r="B377" s="828" t="s">
        <v>100</v>
      </c>
      <c r="C377" s="828" t="s">
        <v>253</v>
      </c>
      <c r="D377" s="829" t="s">
        <v>254</v>
      </c>
      <c r="E377" s="830" t="s">
        <v>4794</v>
      </c>
      <c r="F377" s="830" t="s">
        <v>4794</v>
      </c>
      <c r="G377" s="830" t="s">
        <v>4794</v>
      </c>
      <c r="H377" s="830"/>
      <c r="I377" s="830" t="s">
        <v>4794</v>
      </c>
      <c r="J377" s="830" t="s">
        <v>4794</v>
      </c>
      <c r="K377" s="830" t="s">
        <v>4794</v>
      </c>
      <c r="L377" s="831">
        <v>100</v>
      </c>
      <c r="M377" s="830" t="s">
        <v>4794</v>
      </c>
      <c r="N377" s="830" t="s">
        <v>4794</v>
      </c>
      <c r="O377" s="830" t="s">
        <v>4794</v>
      </c>
      <c r="P377" s="830" t="s">
        <v>4794</v>
      </c>
      <c r="Q377" s="832">
        <f t="shared" si="5"/>
        <v>100</v>
      </c>
      <c r="R377" s="833" t="s">
        <v>236</v>
      </c>
      <c r="S377" s="834"/>
      <c r="T377" s="850"/>
      <c r="U377" s="850"/>
      <c r="V377" s="850"/>
      <c r="W377" s="850"/>
      <c r="X377" s="850"/>
      <c r="Y377" s="850"/>
      <c r="Z377" s="850"/>
      <c r="AA377" s="850"/>
      <c r="AB377" s="850"/>
      <c r="AC377" s="850"/>
      <c r="AD377" s="850"/>
      <c r="AE377" s="850"/>
      <c r="AF377" s="835"/>
    </row>
    <row r="378" spans="1:32" ht="31.5">
      <c r="A378" s="827">
        <v>355</v>
      </c>
      <c r="B378" s="828" t="s">
        <v>100</v>
      </c>
      <c r="C378" s="828" t="s">
        <v>255</v>
      </c>
      <c r="D378" s="829" t="s">
        <v>2859</v>
      </c>
      <c r="E378" s="830" t="s">
        <v>4794</v>
      </c>
      <c r="F378" s="830" t="s">
        <v>4794</v>
      </c>
      <c r="G378" s="830" t="s">
        <v>4794</v>
      </c>
      <c r="H378" s="830"/>
      <c r="I378" s="830" t="s">
        <v>4794</v>
      </c>
      <c r="J378" s="830" t="s">
        <v>4794</v>
      </c>
      <c r="K378" s="831">
        <v>100</v>
      </c>
      <c r="L378" s="830" t="s">
        <v>4794</v>
      </c>
      <c r="M378" s="830" t="s">
        <v>4794</v>
      </c>
      <c r="N378" s="830" t="s">
        <v>4794</v>
      </c>
      <c r="O378" s="830" t="s">
        <v>4794</v>
      </c>
      <c r="P378" s="830" t="s">
        <v>4794</v>
      </c>
      <c r="Q378" s="832">
        <f t="shared" si="5"/>
        <v>100</v>
      </c>
      <c r="R378" s="833" t="s">
        <v>236</v>
      </c>
      <c r="S378" s="834"/>
      <c r="T378" s="850"/>
      <c r="U378" s="850"/>
      <c r="V378" s="850"/>
      <c r="W378" s="850"/>
      <c r="X378" s="850"/>
      <c r="Y378" s="850"/>
      <c r="Z378" s="850"/>
      <c r="AA378" s="850"/>
      <c r="AB378" s="850"/>
      <c r="AC378" s="850"/>
      <c r="AD378" s="850"/>
      <c r="AE378" s="850"/>
      <c r="AF378" s="835"/>
    </row>
    <row r="379" spans="1:32" ht="21">
      <c r="A379" s="827">
        <v>356</v>
      </c>
      <c r="B379" s="828" t="s">
        <v>100</v>
      </c>
      <c r="C379" s="828" t="s">
        <v>2860</v>
      </c>
      <c r="D379" s="829" t="s">
        <v>2861</v>
      </c>
      <c r="E379" s="830" t="s">
        <v>4794</v>
      </c>
      <c r="F379" s="831">
        <v>1</v>
      </c>
      <c r="G379" s="831">
        <v>1</v>
      </c>
      <c r="H379" s="831">
        <v>1</v>
      </c>
      <c r="I379" s="831">
        <v>1</v>
      </c>
      <c r="J379" s="831">
        <v>1</v>
      </c>
      <c r="K379" s="831">
        <v>1</v>
      </c>
      <c r="L379" s="831">
        <v>1</v>
      </c>
      <c r="M379" s="831">
        <v>1</v>
      </c>
      <c r="N379" s="831">
        <v>1</v>
      </c>
      <c r="O379" s="831">
        <v>1</v>
      </c>
      <c r="P379" s="831">
        <v>1</v>
      </c>
      <c r="Q379" s="832">
        <f t="shared" si="5"/>
        <v>11</v>
      </c>
      <c r="R379" s="833" t="s">
        <v>3714</v>
      </c>
      <c r="S379" s="834"/>
      <c r="T379" s="850"/>
      <c r="U379" s="850"/>
      <c r="V379" s="850"/>
      <c r="W379" s="850"/>
      <c r="X379" s="850"/>
      <c r="Y379" s="850"/>
      <c r="Z379" s="850"/>
      <c r="AA379" s="850"/>
      <c r="AB379" s="850"/>
      <c r="AC379" s="850"/>
      <c r="AD379" s="850"/>
      <c r="AE379" s="850"/>
      <c r="AF379" s="835"/>
    </row>
    <row r="380" spans="1:32">
      <c r="A380" s="827">
        <v>357</v>
      </c>
      <c r="B380" s="828" t="s">
        <v>100</v>
      </c>
      <c r="C380" s="828" t="s">
        <v>2862</v>
      </c>
      <c r="D380" s="829" t="s">
        <v>2863</v>
      </c>
      <c r="E380" s="831">
        <v>1</v>
      </c>
      <c r="F380" s="831">
        <v>1</v>
      </c>
      <c r="G380" s="831">
        <v>1</v>
      </c>
      <c r="H380" s="831">
        <v>1</v>
      </c>
      <c r="I380" s="831">
        <v>1</v>
      </c>
      <c r="J380" s="831">
        <v>1</v>
      </c>
      <c r="K380" s="831">
        <v>1</v>
      </c>
      <c r="L380" s="831">
        <v>1</v>
      </c>
      <c r="M380" s="831">
        <v>1</v>
      </c>
      <c r="N380" s="831">
        <v>1</v>
      </c>
      <c r="O380" s="831">
        <v>1</v>
      </c>
      <c r="P380" s="831">
        <v>1</v>
      </c>
      <c r="Q380" s="832">
        <f t="shared" si="5"/>
        <v>12</v>
      </c>
      <c r="R380" s="833" t="s">
        <v>4025</v>
      </c>
      <c r="S380" s="836"/>
      <c r="T380" s="852"/>
      <c r="U380" s="852"/>
      <c r="V380" s="852"/>
      <c r="W380" s="852"/>
      <c r="X380" s="852"/>
      <c r="Y380" s="852"/>
      <c r="Z380" s="852"/>
      <c r="AA380" s="852"/>
      <c r="AB380" s="852"/>
      <c r="AC380" s="852"/>
      <c r="AD380" s="852"/>
      <c r="AE380" s="852"/>
      <c r="AF380" s="837"/>
    </row>
    <row r="381" spans="1:32" ht="21">
      <c r="A381" s="827">
        <v>358</v>
      </c>
      <c r="B381" s="828" t="s">
        <v>100</v>
      </c>
      <c r="C381" s="828" t="s">
        <v>2864</v>
      </c>
      <c r="D381" s="829" t="s">
        <v>2865</v>
      </c>
      <c r="E381" s="830" t="s">
        <v>4794</v>
      </c>
      <c r="F381" s="830" t="s">
        <v>4794</v>
      </c>
      <c r="G381" s="830" t="s">
        <v>4794</v>
      </c>
      <c r="H381" s="831">
        <v>50</v>
      </c>
      <c r="I381" s="830" t="s">
        <v>4794</v>
      </c>
      <c r="J381" s="830" t="s">
        <v>4794</v>
      </c>
      <c r="K381" s="830" t="s">
        <v>4794</v>
      </c>
      <c r="L381" s="830" t="s">
        <v>4794</v>
      </c>
      <c r="M381" s="830" t="s">
        <v>4794</v>
      </c>
      <c r="N381" s="830" t="s">
        <v>4794</v>
      </c>
      <c r="O381" s="830" t="s">
        <v>4794</v>
      </c>
      <c r="P381" s="830" t="s">
        <v>4794</v>
      </c>
      <c r="Q381" s="832">
        <f t="shared" si="5"/>
        <v>50</v>
      </c>
      <c r="R381" s="833" t="s">
        <v>4025</v>
      </c>
      <c r="S381" s="834"/>
      <c r="T381" s="853"/>
      <c r="U381" s="853"/>
      <c r="V381" s="853"/>
      <c r="W381" s="853"/>
      <c r="X381" s="853"/>
      <c r="Y381" s="853"/>
      <c r="Z381" s="853"/>
      <c r="AA381" s="853"/>
      <c r="AB381" s="853"/>
      <c r="AC381" s="853"/>
      <c r="AD381" s="853"/>
      <c r="AE381" s="853"/>
      <c r="AF381" s="835"/>
    </row>
    <row r="382" spans="1:32" ht="21">
      <c r="A382" s="827">
        <v>359</v>
      </c>
      <c r="B382" s="828" t="s">
        <v>100</v>
      </c>
      <c r="C382" s="828" t="s">
        <v>2866</v>
      </c>
      <c r="D382" s="829" t="s">
        <v>2867</v>
      </c>
      <c r="E382" s="830" t="s">
        <v>4794</v>
      </c>
      <c r="F382" s="830" t="s">
        <v>4794</v>
      </c>
      <c r="G382" s="830" t="s">
        <v>4794</v>
      </c>
      <c r="H382" s="830" t="s">
        <v>4794</v>
      </c>
      <c r="I382" s="831">
        <v>20</v>
      </c>
      <c r="J382" s="830" t="s">
        <v>4794</v>
      </c>
      <c r="K382" s="830" t="s">
        <v>4794</v>
      </c>
      <c r="L382" s="830" t="s">
        <v>4794</v>
      </c>
      <c r="M382" s="830" t="s">
        <v>4794</v>
      </c>
      <c r="N382" s="830" t="s">
        <v>4794</v>
      </c>
      <c r="O382" s="830" t="s">
        <v>4794</v>
      </c>
      <c r="P382" s="830" t="s">
        <v>4794</v>
      </c>
      <c r="Q382" s="832">
        <f t="shared" si="5"/>
        <v>20</v>
      </c>
      <c r="R382" s="833" t="s">
        <v>4025</v>
      </c>
      <c r="S382" s="834"/>
      <c r="T382" s="853"/>
      <c r="U382" s="853"/>
      <c r="V382" s="853"/>
      <c r="W382" s="853"/>
      <c r="X382" s="853"/>
      <c r="Y382" s="853"/>
      <c r="Z382" s="853"/>
      <c r="AA382" s="853"/>
      <c r="AB382" s="853"/>
      <c r="AC382" s="853"/>
      <c r="AD382" s="853"/>
      <c r="AE382" s="853"/>
      <c r="AF382" s="835"/>
    </row>
    <row r="383" spans="1:32" ht="21">
      <c r="A383" s="827">
        <v>360</v>
      </c>
      <c r="B383" s="828" t="s">
        <v>100</v>
      </c>
      <c r="C383" s="828">
        <v>9107385</v>
      </c>
      <c r="D383" s="829" t="s">
        <v>2868</v>
      </c>
      <c r="E383" s="831">
        <v>20</v>
      </c>
      <c r="F383" s="830"/>
      <c r="G383" s="831">
        <v>20</v>
      </c>
      <c r="H383" s="830" t="s">
        <v>4794</v>
      </c>
      <c r="I383" s="831">
        <v>20</v>
      </c>
      <c r="J383" s="830" t="s">
        <v>4794</v>
      </c>
      <c r="K383" s="831">
        <v>20</v>
      </c>
      <c r="L383" s="830" t="s">
        <v>4794</v>
      </c>
      <c r="M383" s="830" t="s">
        <v>4794</v>
      </c>
      <c r="N383" s="831">
        <v>20</v>
      </c>
      <c r="O383" s="830" t="s">
        <v>4794</v>
      </c>
      <c r="P383" s="830" t="s">
        <v>4794</v>
      </c>
      <c r="Q383" s="832">
        <f t="shared" si="5"/>
        <v>100</v>
      </c>
      <c r="R383" s="833" t="s">
        <v>4025</v>
      </c>
      <c r="S383" s="834"/>
      <c r="T383" s="850"/>
      <c r="U383" s="850"/>
      <c r="V383" s="850"/>
      <c r="W383" s="850"/>
      <c r="X383" s="850"/>
      <c r="Y383" s="850"/>
      <c r="Z383" s="850"/>
      <c r="AA383" s="850"/>
      <c r="AB383" s="850"/>
      <c r="AC383" s="850"/>
      <c r="AD383" s="850"/>
      <c r="AE383" s="850"/>
      <c r="AF383" s="835"/>
    </row>
    <row r="384" spans="1:32" ht="21">
      <c r="A384" s="827">
        <v>361</v>
      </c>
      <c r="B384" s="828" t="s">
        <v>100</v>
      </c>
      <c r="C384" s="828">
        <v>9106516</v>
      </c>
      <c r="D384" s="829" t="s">
        <v>2869</v>
      </c>
      <c r="E384" s="830"/>
      <c r="F384" s="830" t="s">
        <v>4794</v>
      </c>
      <c r="G384" s="830" t="s">
        <v>4794</v>
      </c>
      <c r="H384" s="831">
        <v>50</v>
      </c>
      <c r="I384" s="830" t="s">
        <v>4794</v>
      </c>
      <c r="J384" s="831">
        <v>50</v>
      </c>
      <c r="K384" s="831">
        <v>50</v>
      </c>
      <c r="L384" s="830" t="s">
        <v>4794</v>
      </c>
      <c r="M384" s="830" t="s">
        <v>4794</v>
      </c>
      <c r="N384" s="831">
        <v>50</v>
      </c>
      <c r="O384" s="830" t="s">
        <v>4794</v>
      </c>
      <c r="P384" s="830" t="s">
        <v>4794</v>
      </c>
      <c r="Q384" s="832">
        <f t="shared" si="5"/>
        <v>200</v>
      </c>
      <c r="R384" s="833" t="s">
        <v>4025</v>
      </c>
      <c r="S384" s="834"/>
      <c r="T384" s="850"/>
      <c r="U384" s="850"/>
      <c r="V384" s="850"/>
      <c r="W384" s="850"/>
      <c r="X384" s="850"/>
      <c r="Y384" s="850"/>
      <c r="Z384" s="850"/>
      <c r="AA384" s="850"/>
      <c r="AB384" s="850"/>
      <c r="AC384" s="850"/>
      <c r="AD384" s="850"/>
      <c r="AE384" s="850"/>
      <c r="AF384" s="835"/>
    </row>
    <row r="385" spans="1:32" ht="21">
      <c r="A385" s="827">
        <v>362</v>
      </c>
      <c r="B385" s="828" t="s">
        <v>100</v>
      </c>
      <c r="C385" s="828">
        <v>9107658</v>
      </c>
      <c r="D385" s="829" t="s">
        <v>2870</v>
      </c>
      <c r="E385" s="830" t="s">
        <v>4794</v>
      </c>
      <c r="F385" s="830"/>
      <c r="G385" s="831">
        <v>20</v>
      </c>
      <c r="H385" s="831">
        <v>10</v>
      </c>
      <c r="I385" s="831">
        <v>10</v>
      </c>
      <c r="J385" s="831">
        <v>20</v>
      </c>
      <c r="K385" s="831">
        <v>20</v>
      </c>
      <c r="L385" s="831">
        <v>20</v>
      </c>
      <c r="M385" s="831">
        <v>10</v>
      </c>
      <c r="N385" s="831">
        <v>10</v>
      </c>
      <c r="O385" s="830" t="s">
        <v>4794</v>
      </c>
      <c r="P385" s="830" t="s">
        <v>4794</v>
      </c>
      <c r="Q385" s="832">
        <f t="shared" si="5"/>
        <v>120</v>
      </c>
      <c r="R385" s="833" t="s">
        <v>4025</v>
      </c>
      <c r="S385" s="836"/>
      <c r="T385" s="852"/>
      <c r="U385" s="852"/>
      <c r="V385" s="852"/>
      <c r="W385" s="852"/>
      <c r="X385" s="852"/>
      <c r="Y385" s="852"/>
      <c r="Z385" s="852"/>
      <c r="AA385" s="852"/>
      <c r="AB385" s="852"/>
      <c r="AC385" s="852"/>
      <c r="AD385" s="852"/>
      <c r="AE385" s="852"/>
      <c r="AF385" s="837"/>
    </row>
    <row r="386" spans="1:32" ht="42">
      <c r="A386" s="827">
        <v>363</v>
      </c>
      <c r="B386" s="828" t="s">
        <v>100</v>
      </c>
      <c r="C386" s="828">
        <v>9107666</v>
      </c>
      <c r="D386" s="829" t="s">
        <v>2871</v>
      </c>
      <c r="E386" s="830"/>
      <c r="F386" s="830"/>
      <c r="G386" s="830"/>
      <c r="H386" s="831">
        <v>50</v>
      </c>
      <c r="I386" s="830"/>
      <c r="J386" s="831">
        <v>50</v>
      </c>
      <c r="K386" s="830"/>
      <c r="L386" s="830"/>
      <c r="M386" s="831">
        <v>100</v>
      </c>
      <c r="N386" s="830"/>
      <c r="O386" s="830"/>
      <c r="P386" s="830"/>
      <c r="Q386" s="832">
        <f t="shared" si="5"/>
        <v>200</v>
      </c>
      <c r="R386" s="833" t="s">
        <v>4025</v>
      </c>
      <c r="S386" s="834"/>
      <c r="T386" s="835"/>
      <c r="U386" s="835"/>
      <c r="V386" s="835"/>
      <c r="W386" s="835"/>
      <c r="X386" s="835"/>
      <c r="Y386" s="835"/>
      <c r="Z386" s="835"/>
      <c r="AA386" s="835"/>
      <c r="AB386" s="835"/>
      <c r="AC386" s="835"/>
      <c r="AD386" s="835"/>
      <c r="AE386" s="835"/>
      <c r="AF386" s="835"/>
    </row>
    <row r="387" spans="1:32" ht="42">
      <c r="A387" s="827">
        <v>364</v>
      </c>
      <c r="B387" s="828" t="s">
        <v>100</v>
      </c>
      <c r="C387" s="828">
        <v>3611769</v>
      </c>
      <c r="D387" s="829" t="s">
        <v>2872</v>
      </c>
      <c r="E387" s="830"/>
      <c r="F387" s="830"/>
      <c r="G387" s="830"/>
      <c r="H387" s="831">
        <v>50</v>
      </c>
      <c r="I387" s="830"/>
      <c r="J387" s="831">
        <v>50</v>
      </c>
      <c r="K387" s="830"/>
      <c r="L387" s="830"/>
      <c r="M387" s="831">
        <v>100</v>
      </c>
      <c r="N387" s="830"/>
      <c r="O387" s="830"/>
      <c r="P387" s="830"/>
      <c r="Q387" s="832">
        <f t="shared" si="5"/>
        <v>200</v>
      </c>
      <c r="R387" s="833" t="s">
        <v>4025</v>
      </c>
      <c r="S387" s="836"/>
      <c r="T387" s="852"/>
      <c r="U387" s="852"/>
      <c r="V387" s="852"/>
      <c r="W387" s="852"/>
      <c r="X387" s="852"/>
      <c r="Y387" s="852"/>
      <c r="Z387" s="852"/>
      <c r="AA387" s="852"/>
      <c r="AB387" s="852"/>
      <c r="AC387" s="852"/>
      <c r="AD387" s="852"/>
      <c r="AE387" s="852"/>
      <c r="AF387" s="837"/>
    </row>
    <row r="388" spans="1:32" ht="42">
      <c r="A388" s="827">
        <v>365</v>
      </c>
      <c r="B388" s="828" t="s">
        <v>100</v>
      </c>
      <c r="C388" s="828">
        <v>9107667</v>
      </c>
      <c r="D388" s="829" t="s">
        <v>2873</v>
      </c>
      <c r="E388" s="830"/>
      <c r="F388" s="830"/>
      <c r="G388" s="830"/>
      <c r="H388" s="831">
        <v>50</v>
      </c>
      <c r="I388" s="830"/>
      <c r="J388" s="831">
        <v>50</v>
      </c>
      <c r="K388" s="830"/>
      <c r="L388" s="830"/>
      <c r="M388" s="831">
        <v>100</v>
      </c>
      <c r="N388" s="830"/>
      <c r="O388" s="830"/>
      <c r="P388" s="830"/>
      <c r="Q388" s="832">
        <f t="shared" si="5"/>
        <v>200</v>
      </c>
      <c r="R388" s="833" t="s">
        <v>4025</v>
      </c>
      <c r="S388" s="834"/>
      <c r="T388" s="850"/>
      <c r="U388" s="850"/>
      <c r="V388" s="850"/>
      <c r="W388" s="850"/>
      <c r="X388" s="850"/>
      <c r="Y388" s="850"/>
      <c r="Z388" s="850"/>
      <c r="AA388" s="850"/>
      <c r="AB388" s="850"/>
      <c r="AC388" s="850"/>
      <c r="AD388" s="850"/>
      <c r="AE388" s="850"/>
      <c r="AF388" s="835"/>
    </row>
    <row r="389" spans="1:32" ht="42">
      <c r="A389" s="827">
        <v>366</v>
      </c>
      <c r="B389" s="828" t="s">
        <v>100</v>
      </c>
      <c r="C389" s="828">
        <v>9107668</v>
      </c>
      <c r="D389" s="829" t="s">
        <v>2874</v>
      </c>
      <c r="E389" s="830"/>
      <c r="F389" s="830"/>
      <c r="G389" s="830"/>
      <c r="H389" s="831">
        <v>50</v>
      </c>
      <c r="I389" s="830"/>
      <c r="J389" s="831">
        <v>50</v>
      </c>
      <c r="K389" s="830"/>
      <c r="L389" s="830"/>
      <c r="M389" s="831">
        <v>100</v>
      </c>
      <c r="N389" s="830"/>
      <c r="O389" s="830"/>
      <c r="P389" s="830"/>
      <c r="Q389" s="832">
        <f t="shared" si="5"/>
        <v>200</v>
      </c>
      <c r="R389" s="833" t="s">
        <v>4025</v>
      </c>
      <c r="S389" s="834"/>
      <c r="T389" s="850"/>
      <c r="U389" s="850"/>
      <c r="V389" s="850"/>
      <c r="W389" s="850"/>
      <c r="X389" s="850"/>
      <c r="Y389" s="850"/>
      <c r="Z389" s="850"/>
      <c r="AA389" s="850"/>
      <c r="AB389" s="850"/>
      <c r="AC389" s="850"/>
      <c r="AD389" s="850"/>
      <c r="AE389" s="850"/>
      <c r="AF389" s="835"/>
    </row>
    <row r="390" spans="1:32" ht="21">
      <c r="A390" s="827">
        <v>367</v>
      </c>
      <c r="B390" s="828" t="s">
        <v>100</v>
      </c>
      <c r="C390" s="828" t="s">
        <v>2875</v>
      </c>
      <c r="D390" s="829" t="s">
        <v>2876</v>
      </c>
      <c r="E390" s="830" t="s">
        <v>4794</v>
      </c>
      <c r="F390" s="831">
        <v>100</v>
      </c>
      <c r="G390" s="830" t="s">
        <v>4794</v>
      </c>
      <c r="H390" s="831">
        <v>100</v>
      </c>
      <c r="I390" s="830" t="s">
        <v>4794</v>
      </c>
      <c r="J390" s="831">
        <v>100</v>
      </c>
      <c r="K390" s="831">
        <v>200</v>
      </c>
      <c r="L390" s="831">
        <v>100</v>
      </c>
      <c r="M390" s="830" t="s">
        <v>4794</v>
      </c>
      <c r="N390" s="830" t="s">
        <v>4794</v>
      </c>
      <c r="O390" s="830" t="s">
        <v>4794</v>
      </c>
      <c r="P390" s="830" t="s">
        <v>4794</v>
      </c>
      <c r="Q390" s="832">
        <f t="shared" si="5"/>
        <v>600</v>
      </c>
      <c r="R390" s="833" t="s">
        <v>4025</v>
      </c>
      <c r="S390" s="834"/>
      <c r="T390" s="853"/>
      <c r="U390" s="853"/>
      <c r="V390" s="853"/>
      <c r="W390" s="853"/>
      <c r="X390" s="853"/>
      <c r="Y390" s="853"/>
      <c r="Z390" s="853"/>
      <c r="AA390" s="853"/>
      <c r="AB390" s="853"/>
      <c r="AC390" s="853"/>
      <c r="AD390" s="853"/>
      <c r="AE390" s="853"/>
      <c r="AF390" s="835"/>
    </row>
    <row r="391" spans="1:32" ht="21">
      <c r="A391" s="827">
        <v>368</v>
      </c>
      <c r="B391" s="828" t="s">
        <v>100</v>
      </c>
      <c r="C391" s="828" t="s">
        <v>2877</v>
      </c>
      <c r="D391" s="829" t="s">
        <v>2878</v>
      </c>
      <c r="E391" s="831">
        <v>108</v>
      </c>
      <c r="F391" s="830" t="s">
        <v>4794</v>
      </c>
      <c r="G391" s="831">
        <v>216</v>
      </c>
      <c r="H391" s="830" t="s">
        <v>4794</v>
      </c>
      <c r="I391" s="831">
        <v>108</v>
      </c>
      <c r="J391" s="830" t="s">
        <v>4794</v>
      </c>
      <c r="K391" s="831">
        <v>108</v>
      </c>
      <c r="L391" s="830" t="s">
        <v>4794</v>
      </c>
      <c r="M391" s="830" t="s">
        <v>4794</v>
      </c>
      <c r="N391" s="831">
        <v>108</v>
      </c>
      <c r="O391" s="830" t="s">
        <v>4794</v>
      </c>
      <c r="P391" s="830" t="s">
        <v>4794</v>
      </c>
      <c r="Q391" s="832">
        <f t="shared" si="5"/>
        <v>648</v>
      </c>
      <c r="R391" s="833" t="s">
        <v>4025</v>
      </c>
      <c r="S391" s="834"/>
      <c r="T391" s="853"/>
      <c r="U391" s="853"/>
      <c r="V391" s="853"/>
      <c r="W391" s="853"/>
      <c r="X391" s="853"/>
      <c r="Y391" s="853"/>
      <c r="Z391" s="853"/>
      <c r="AA391" s="853"/>
      <c r="AB391" s="853"/>
      <c r="AC391" s="853"/>
      <c r="AD391" s="853"/>
      <c r="AE391" s="853"/>
      <c r="AF391" s="835"/>
    </row>
    <row r="392" spans="1:32" ht="21">
      <c r="A392" s="827">
        <v>369</v>
      </c>
      <c r="B392" s="828" t="s">
        <v>100</v>
      </c>
      <c r="C392" s="828" t="s">
        <v>2879</v>
      </c>
      <c r="D392" s="829" t="s">
        <v>2880</v>
      </c>
      <c r="E392" s="830"/>
      <c r="F392" s="831">
        <v>216</v>
      </c>
      <c r="G392" s="830" t="s">
        <v>4794</v>
      </c>
      <c r="H392" s="831">
        <v>108</v>
      </c>
      <c r="I392" s="831">
        <v>108</v>
      </c>
      <c r="J392" s="830" t="s">
        <v>4794</v>
      </c>
      <c r="K392" s="831">
        <v>108</v>
      </c>
      <c r="L392" s="830" t="s">
        <v>4794</v>
      </c>
      <c r="M392" s="831">
        <v>108</v>
      </c>
      <c r="N392" s="830" t="s">
        <v>4794</v>
      </c>
      <c r="O392" s="831">
        <v>108</v>
      </c>
      <c r="P392" s="830" t="s">
        <v>4794</v>
      </c>
      <c r="Q392" s="832">
        <f t="shared" si="5"/>
        <v>756</v>
      </c>
      <c r="R392" s="833" t="s">
        <v>4025</v>
      </c>
      <c r="S392" s="834"/>
      <c r="T392" s="835"/>
      <c r="U392" s="835"/>
      <c r="V392" s="835"/>
      <c r="W392" s="835"/>
      <c r="X392" s="835"/>
      <c r="Y392" s="835"/>
      <c r="Z392" s="835"/>
      <c r="AA392" s="835"/>
      <c r="AB392" s="835"/>
      <c r="AC392" s="835"/>
      <c r="AD392" s="835"/>
      <c r="AE392" s="835"/>
      <c r="AF392" s="835"/>
    </row>
    <row r="393" spans="1:32" ht="31.5">
      <c r="A393" s="827">
        <v>370</v>
      </c>
      <c r="B393" s="828" t="s">
        <v>100</v>
      </c>
      <c r="C393" s="828">
        <v>9107481</v>
      </c>
      <c r="D393" s="829" t="s">
        <v>2881</v>
      </c>
      <c r="E393" s="830"/>
      <c r="F393" s="831">
        <v>50</v>
      </c>
      <c r="G393" s="830"/>
      <c r="H393" s="831">
        <v>50</v>
      </c>
      <c r="I393" s="830"/>
      <c r="J393" s="831">
        <v>50</v>
      </c>
      <c r="K393" s="830"/>
      <c r="L393" s="830"/>
      <c r="M393" s="831">
        <v>50</v>
      </c>
      <c r="N393" s="830"/>
      <c r="O393" s="830"/>
      <c r="P393" s="830"/>
      <c r="Q393" s="832">
        <f t="shared" si="5"/>
        <v>200</v>
      </c>
      <c r="R393" s="833" t="s">
        <v>4025</v>
      </c>
      <c r="S393" s="834"/>
      <c r="T393" s="835"/>
      <c r="U393" s="835"/>
      <c r="V393" s="835"/>
      <c r="W393" s="835"/>
      <c r="X393" s="835"/>
      <c r="Y393" s="835"/>
      <c r="Z393" s="835"/>
      <c r="AA393" s="835"/>
      <c r="AB393" s="835"/>
      <c r="AC393" s="835"/>
      <c r="AD393" s="835"/>
      <c r="AE393" s="835"/>
      <c r="AF393" s="835"/>
    </row>
    <row r="394" spans="1:32" ht="31.5">
      <c r="A394" s="827">
        <v>371</v>
      </c>
      <c r="B394" s="828" t="s">
        <v>100</v>
      </c>
      <c r="C394" s="828">
        <v>9107482</v>
      </c>
      <c r="D394" s="829" t="s">
        <v>2882</v>
      </c>
      <c r="E394" s="830"/>
      <c r="F394" s="831">
        <v>50</v>
      </c>
      <c r="G394" s="830"/>
      <c r="H394" s="831">
        <v>50</v>
      </c>
      <c r="I394" s="830"/>
      <c r="J394" s="831">
        <v>50</v>
      </c>
      <c r="K394" s="830"/>
      <c r="L394" s="830"/>
      <c r="M394" s="831">
        <v>50</v>
      </c>
      <c r="N394" s="830"/>
      <c r="O394" s="830"/>
      <c r="P394" s="830"/>
      <c r="Q394" s="832">
        <f t="shared" si="5"/>
        <v>200</v>
      </c>
      <c r="R394" s="833" t="s">
        <v>4025</v>
      </c>
      <c r="S394" s="834"/>
      <c r="T394" s="850"/>
      <c r="U394" s="850"/>
      <c r="V394" s="850"/>
      <c r="W394" s="850"/>
      <c r="X394" s="850"/>
      <c r="Y394" s="850"/>
      <c r="Z394" s="850"/>
      <c r="AA394" s="850"/>
      <c r="AB394" s="850"/>
      <c r="AC394" s="850"/>
      <c r="AD394" s="850"/>
      <c r="AE394" s="850"/>
      <c r="AF394" s="835"/>
    </row>
    <row r="395" spans="1:32" ht="31.5">
      <c r="A395" s="827">
        <v>372</v>
      </c>
      <c r="B395" s="828" t="s">
        <v>100</v>
      </c>
      <c r="C395" s="828">
        <v>9107483</v>
      </c>
      <c r="D395" s="829" t="s">
        <v>2883</v>
      </c>
      <c r="E395" s="830"/>
      <c r="F395" s="831">
        <v>50</v>
      </c>
      <c r="G395" s="830"/>
      <c r="H395" s="831">
        <v>50</v>
      </c>
      <c r="I395" s="830"/>
      <c r="J395" s="831">
        <v>50</v>
      </c>
      <c r="K395" s="830"/>
      <c r="L395" s="830"/>
      <c r="M395" s="831">
        <v>50</v>
      </c>
      <c r="N395" s="830"/>
      <c r="O395" s="830"/>
      <c r="P395" s="830"/>
      <c r="Q395" s="832">
        <f t="shared" si="5"/>
        <v>200</v>
      </c>
      <c r="R395" s="833" t="s">
        <v>4025</v>
      </c>
      <c r="S395" s="834"/>
      <c r="T395" s="850"/>
      <c r="U395" s="850"/>
      <c r="V395" s="850"/>
      <c r="W395" s="850"/>
      <c r="X395" s="850"/>
      <c r="Y395" s="850"/>
      <c r="Z395" s="850"/>
      <c r="AA395" s="850"/>
      <c r="AB395" s="850"/>
      <c r="AC395" s="850"/>
      <c r="AD395" s="850"/>
      <c r="AE395" s="850"/>
      <c r="AF395" s="835"/>
    </row>
    <row r="396" spans="1:32" ht="42">
      <c r="A396" s="827">
        <v>373</v>
      </c>
      <c r="B396" s="828" t="s">
        <v>100</v>
      </c>
      <c r="C396" s="828" t="s">
        <v>2884</v>
      </c>
      <c r="D396" s="829" t="s">
        <v>4304</v>
      </c>
      <c r="E396" s="830" t="s">
        <v>4794</v>
      </c>
      <c r="F396" s="830"/>
      <c r="G396" s="831">
        <v>20</v>
      </c>
      <c r="H396" s="830"/>
      <c r="I396" s="830" t="s">
        <v>4794</v>
      </c>
      <c r="J396" s="831">
        <v>10</v>
      </c>
      <c r="K396" s="830" t="s">
        <v>4794</v>
      </c>
      <c r="L396" s="831">
        <v>20</v>
      </c>
      <c r="M396" s="830" t="s">
        <v>4794</v>
      </c>
      <c r="N396" s="830" t="s">
        <v>4794</v>
      </c>
      <c r="O396" s="830" t="s">
        <v>4794</v>
      </c>
      <c r="P396" s="830" t="s">
        <v>4794</v>
      </c>
      <c r="Q396" s="832">
        <f t="shared" si="5"/>
        <v>50</v>
      </c>
      <c r="R396" s="833" t="s">
        <v>4025</v>
      </c>
      <c r="S396" s="834"/>
      <c r="T396" s="850"/>
      <c r="U396" s="850"/>
      <c r="V396" s="850"/>
      <c r="W396" s="850"/>
      <c r="X396" s="850"/>
      <c r="Y396" s="850"/>
      <c r="Z396" s="850"/>
      <c r="AA396" s="850"/>
      <c r="AB396" s="850"/>
      <c r="AC396" s="850"/>
      <c r="AD396" s="850"/>
      <c r="AE396" s="850"/>
      <c r="AF396" s="835"/>
    </row>
    <row r="397" spans="1:32" ht="31.5">
      <c r="A397" s="827">
        <v>374</v>
      </c>
      <c r="B397" s="828" t="s">
        <v>100</v>
      </c>
      <c r="C397" s="828" t="s">
        <v>4305</v>
      </c>
      <c r="D397" s="829" t="s">
        <v>4306</v>
      </c>
      <c r="E397" s="830" t="s">
        <v>4794</v>
      </c>
      <c r="F397" s="830" t="s">
        <v>4794</v>
      </c>
      <c r="G397" s="831">
        <v>1</v>
      </c>
      <c r="H397" s="830" t="s">
        <v>4794</v>
      </c>
      <c r="I397" s="831">
        <v>1</v>
      </c>
      <c r="J397" s="830" t="s">
        <v>4794</v>
      </c>
      <c r="K397" s="831">
        <v>1</v>
      </c>
      <c r="L397" s="830" t="s">
        <v>4794</v>
      </c>
      <c r="M397" s="830" t="s">
        <v>4794</v>
      </c>
      <c r="N397" s="830" t="s">
        <v>4794</v>
      </c>
      <c r="O397" s="831">
        <v>1</v>
      </c>
      <c r="P397" s="830" t="s">
        <v>4794</v>
      </c>
      <c r="Q397" s="832">
        <f t="shared" si="5"/>
        <v>4</v>
      </c>
      <c r="R397" s="833" t="s">
        <v>4025</v>
      </c>
      <c r="S397" s="834"/>
      <c r="T397" s="850"/>
      <c r="U397" s="850"/>
      <c r="V397" s="850"/>
      <c r="W397" s="850"/>
      <c r="X397" s="850"/>
      <c r="Y397" s="850"/>
      <c r="Z397" s="850"/>
      <c r="AA397" s="850"/>
      <c r="AB397" s="850"/>
      <c r="AC397" s="850"/>
      <c r="AD397" s="850"/>
      <c r="AE397" s="850"/>
      <c r="AF397" s="835"/>
    </row>
    <row r="398" spans="1:32" ht="31.5">
      <c r="A398" s="827">
        <v>375</v>
      </c>
      <c r="B398" s="828" t="s">
        <v>100</v>
      </c>
      <c r="C398" s="828" t="s">
        <v>4307</v>
      </c>
      <c r="D398" s="829" t="s">
        <v>4308</v>
      </c>
      <c r="E398" s="830" t="s">
        <v>4794</v>
      </c>
      <c r="F398" s="830" t="s">
        <v>4794</v>
      </c>
      <c r="G398" s="830"/>
      <c r="H398" s="831">
        <v>1</v>
      </c>
      <c r="I398" s="830"/>
      <c r="J398" s="830" t="s">
        <v>4794</v>
      </c>
      <c r="K398" s="831">
        <v>1</v>
      </c>
      <c r="L398" s="830" t="s">
        <v>4794</v>
      </c>
      <c r="M398" s="830" t="s">
        <v>4794</v>
      </c>
      <c r="N398" s="830"/>
      <c r="O398" s="830"/>
      <c r="P398" s="830" t="s">
        <v>4794</v>
      </c>
      <c r="Q398" s="832">
        <f t="shared" si="5"/>
        <v>2</v>
      </c>
      <c r="R398" s="833" t="s">
        <v>4025</v>
      </c>
      <c r="S398" s="834"/>
      <c r="T398" s="850"/>
      <c r="U398" s="850"/>
      <c r="V398" s="850"/>
      <c r="W398" s="850"/>
      <c r="X398" s="850"/>
      <c r="Y398" s="850"/>
      <c r="Z398" s="850"/>
      <c r="AA398" s="850"/>
      <c r="AB398" s="850"/>
      <c r="AC398" s="850"/>
      <c r="AD398" s="850"/>
      <c r="AE398" s="850"/>
      <c r="AF398" s="835"/>
    </row>
    <row r="399" spans="1:32" ht="21">
      <c r="A399" s="827">
        <v>376</v>
      </c>
      <c r="B399" s="828" t="s">
        <v>100</v>
      </c>
      <c r="C399" s="828" t="s">
        <v>4309</v>
      </c>
      <c r="D399" s="829" t="s">
        <v>4310</v>
      </c>
      <c r="E399" s="830" t="s">
        <v>4794</v>
      </c>
      <c r="F399" s="830" t="s">
        <v>4794</v>
      </c>
      <c r="G399" s="830"/>
      <c r="H399" s="830" t="s">
        <v>4794</v>
      </c>
      <c r="I399" s="831">
        <v>1</v>
      </c>
      <c r="J399" s="830" t="s">
        <v>4794</v>
      </c>
      <c r="K399" s="830" t="s">
        <v>4794</v>
      </c>
      <c r="L399" s="831">
        <v>1</v>
      </c>
      <c r="M399" s="830" t="s">
        <v>4794</v>
      </c>
      <c r="N399" s="830" t="s">
        <v>4794</v>
      </c>
      <c r="O399" s="830" t="s">
        <v>4794</v>
      </c>
      <c r="P399" s="830" t="s">
        <v>4794</v>
      </c>
      <c r="Q399" s="832">
        <f t="shared" si="5"/>
        <v>2</v>
      </c>
      <c r="R399" s="833" t="s">
        <v>4025</v>
      </c>
      <c r="S399" s="834"/>
      <c r="T399" s="850"/>
      <c r="U399" s="850"/>
      <c r="V399" s="850"/>
      <c r="W399" s="850"/>
      <c r="X399" s="850"/>
      <c r="Y399" s="850"/>
      <c r="Z399" s="850"/>
      <c r="AA399" s="850"/>
      <c r="AB399" s="850"/>
      <c r="AC399" s="850"/>
      <c r="AD399" s="850"/>
      <c r="AE399" s="850"/>
      <c r="AF399" s="835"/>
    </row>
    <row r="400" spans="1:32" ht="21">
      <c r="A400" s="827">
        <v>377</v>
      </c>
      <c r="B400" s="828" t="s">
        <v>100</v>
      </c>
      <c r="C400" s="828" t="s">
        <v>4311</v>
      </c>
      <c r="D400" s="829" t="s">
        <v>4312</v>
      </c>
      <c r="E400" s="830" t="s">
        <v>4794</v>
      </c>
      <c r="F400" s="830" t="s">
        <v>4794</v>
      </c>
      <c r="G400" s="831">
        <v>1</v>
      </c>
      <c r="H400" s="831">
        <v>1</v>
      </c>
      <c r="I400" s="831">
        <v>1</v>
      </c>
      <c r="J400" s="831">
        <v>1</v>
      </c>
      <c r="K400" s="830"/>
      <c r="L400" s="830" t="s">
        <v>4794</v>
      </c>
      <c r="M400" s="830" t="s">
        <v>4794</v>
      </c>
      <c r="N400" s="830" t="s">
        <v>4794</v>
      </c>
      <c r="O400" s="830" t="s">
        <v>4794</v>
      </c>
      <c r="P400" s="830" t="s">
        <v>4794</v>
      </c>
      <c r="Q400" s="832">
        <f t="shared" si="5"/>
        <v>4</v>
      </c>
      <c r="R400" s="833" t="s">
        <v>4025</v>
      </c>
      <c r="S400" s="834"/>
      <c r="T400" s="850"/>
      <c r="U400" s="850"/>
      <c r="V400" s="850"/>
      <c r="W400" s="850"/>
      <c r="X400" s="850"/>
      <c r="Y400" s="850"/>
      <c r="Z400" s="850"/>
      <c r="AA400" s="850"/>
      <c r="AB400" s="850"/>
      <c r="AC400" s="850"/>
      <c r="AD400" s="850"/>
      <c r="AE400" s="850"/>
      <c r="AF400" s="835"/>
    </row>
    <row r="401" spans="1:32" ht="21">
      <c r="A401" s="827">
        <v>378</v>
      </c>
      <c r="B401" s="828" t="s">
        <v>100</v>
      </c>
      <c r="C401" s="828" t="s">
        <v>4313</v>
      </c>
      <c r="D401" s="829" t="s">
        <v>4314</v>
      </c>
      <c r="E401" s="830" t="s">
        <v>4794</v>
      </c>
      <c r="F401" s="830" t="s">
        <v>4794</v>
      </c>
      <c r="G401" s="830"/>
      <c r="H401" s="831">
        <v>1</v>
      </c>
      <c r="I401" s="830" t="s">
        <v>4794</v>
      </c>
      <c r="J401" s="831">
        <v>1</v>
      </c>
      <c r="K401" s="831">
        <v>1</v>
      </c>
      <c r="L401" s="830"/>
      <c r="M401" s="830" t="s">
        <v>4794</v>
      </c>
      <c r="N401" s="830" t="s">
        <v>4794</v>
      </c>
      <c r="O401" s="830" t="s">
        <v>4794</v>
      </c>
      <c r="P401" s="830" t="s">
        <v>4794</v>
      </c>
      <c r="Q401" s="832">
        <f t="shared" si="5"/>
        <v>3</v>
      </c>
      <c r="R401" s="833" t="s">
        <v>4025</v>
      </c>
      <c r="S401" s="834"/>
      <c r="T401" s="850"/>
      <c r="U401" s="850"/>
      <c r="V401" s="850"/>
      <c r="W401" s="850"/>
      <c r="X401" s="850"/>
      <c r="Y401" s="850"/>
      <c r="Z401" s="850"/>
      <c r="AA401" s="850"/>
      <c r="AB401" s="850"/>
      <c r="AC401" s="850"/>
      <c r="AD401" s="850"/>
      <c r="AE401" s="850"/>
      <c r="AF401" s="835"/>
    </row>
    <row r="402" spans="1:32" ht="21">
      <c r="A402" s="827">
        <v>379</v>
      </c>
      <c r="B402" s="828" t="s">
        <v>100</v>
      </c>
      <c r="C402" s="828" t="s">
        <v>4315</v>
      </c>
      <c r="D402" s="829" t="s">
        <v>4316</v>
      </c>
      <c r="E402" s="830"/>
      <c r="F402" s="830" t="s">
        <v>4794</v>
      </c>
      <c r="G402" s="831">
        <v>1</v>
      </c>
      <c r="H402" s="831">
        <v>1</v>
      </c>
      <c r="I402" s="830" t="s">
        <v>4794</v>
      </c>
      <c r="J402" s="831">
        <v>1</v>
      </c>
      <c r="K402" s="830" t="s">
        <v>4794</v>
      </c>
      <c r="L402" s="830"/>
      <c r="M402" s="830" t="s">
        <v>4794</v>
      </c>
      <c r="N402" s="831">
        <v>1</v>
      </c>
      <c r="O402" s="830" t="s">
        <v>4794</v>
      </c>
      <c r="P402" s="830" t="s">
        <v>4794</v>
      </c>
      <c r="Q402" s="832">
        <f t="shared" si="5"/>
        <v>4</v>
      </c>
      <c r="R402" s="833" t="s">
        <v>4025</v>
      </c>
      <c r="S402" s="834"/>
      <c r="T402" s="850"/>
      <c r="U402" s="850"/>
      <c r="V402" s="850"/>
      <c r="W402" s="850"/>
      <c r="X402" s="850"/>
      <c r="Y402" s="850"/>
      <c r="Z402" s="850"/>
      <c r="AA402" s="850"/>
      <c r="AB402" s="850"/>
      <c r="AC402" s="850"/>
      <c r="AD402" s="850"/>
      <c r="AE402" s="850"/>
      <c r="AF402" s="835"/>
    </row>
    <row r="403" spans="1:32" ht="21">
      <c r="A403" s="827">
        <v>380</v>
      </c>
      <c r="B403" s="828" t="s">
        <v>100</v>
      </c>
      <c r="C403" s="828" t="s">
        <v>4317</v>
      </c>
      <c r="D403" s="829" t="s">
        <v>4318</v>
      </c>
      <c r="E403" s="830" t="s">
        <v>4794</v>
      </c>
      <c r="F403" s="830" t="s">
        <v>4794</v>
      </c>
      <c r="G403" s="830"/>
      <c r="H403" s="831">
        <v>1</v>
      </c>
      <c r="I403" s="831">
        <v>1</v>
      </c>
      <c r="J403" s="831">
        <v>1</v>
      </c>
      <c r="K403" s="830" t="s">
        <v>4794</v>
      </c>
      <c r="L403" s="830"/>
      <c r="M403" s="830" t="s">
        <v>4794</v>
      </c>
      <c r="N403" s="830" t="s">
        <v>4794</v>
      </c>
      <c r="O403" s="831">
        <v>1</v>
      </c>
      <c r="P403" s="830" t="s">
        <v>4794</v>
      </c>
      <c r="Q403" s="832">
        <f t="shared" si="5"/>
        <v>4</v>
      </c>
      <c r="R403" s="833" t="s">
        <v>4025</v>
      </c>
      <c r="S403" s="834"/>
      <c r="T403" s="850"/>
      <c r="U403" s="850"/>
      <c r="V403" s="850"/>
      <c r="W403" s="850"/>
      <c r="X403" s="850"/>
      <c r="Y403" s="850"/>
      <c r="Z403" s="850"/>
      <c r="AA403" s="850"/>
      <c r="AB403" s="850"/>
      <c r="AC403" s="850"/>
      <c r="AD403" s="850"/>
      <c r="AE403" s="850"/>
      <c r="AF403" s="835"/>
    </row>
    <row r="404" spans="1:32" ht="21">
      <c r="A404" s="827">
        <v>381</v>
      </c>
      <c r="B404" s="828" t="s">
        <v>100</v>
      </c>
      <c r="C404" s="828">
        <v>3611804</v>
      </c>
      <c r="D404" s="829" t="s">
        <v>4319</v>
      </c>
      <c r="E404" s="830"/>
      <c r="F404" s="830"/>
      <c r="G404" s="831">
        <v>100</v>
      </c>
      <c r="H404" s="830"/>
      <c r="I404" s="831">
        <v>100</v>
      </c>
      <c r="J404" s="830"/>
      <c r="K404" s="831">
        <v>100</v>
      </c>
      <c r="L404" s="830"/>
      <c r="M404" s="831">
        <v>100</v>
      </c>
      <c r="N404" s="830"/>
      <c r="O404" s="830"/>
      <c r="P404" s="830"/>
      <c r="Q404" s="832">
        <f t="shared" si="5"/>
        <v>400</v>
      </c>
      <c r="R404" s="833"/>
      <c r="S404" s="834"/>
      <c r="T404" s="850"/>
      <c r="U404" s="850"/>
      <c r="V404" s="850"/>
      <c r="W404" s="850"/>
      <c r="X404" s="850"/>
      <c r="Y404" s="850"/>
      <c r="Z404" s="850"/>
      <c r="AA404" s="850"/>
      <c r="AB404" s="850"/>
      <c r="AC404" s="850"/>
      <c r="AD404" s="850"/>
      <c r="AE404" s="850"/>
      <c r="AF404" s="835"/>
    </row>
    <row r="405" spans="1:32" ht="21">
      <c r="A405" s="827">
        <v>382</v>
      </c>
      <c r="B405" s="828" t="s">
        <v>100</v>
      </c>
      <c r="C405" s="828" t="s">
        <v>4320</v>
      </c>
      <c r="D405" s="829" t="s">
        <v>4321</v>
      </c>
      <c r="E405" s="830" t="s">
        <v>4794</v>
      </c>
      <c r="F405" s="830"/>
      <c r="G405" s="831">
        <v>100</v>
      </c>
      <c r="H405" s="830" t="s">
        <v>4794</v>
      </c>
      <c r="I405" s="830" t="s">
        <v>4794</v>
      </c>
      <c r="J405" s="831">
        <v>100</v>
      </c>
      <c r="K405" s="830" t="s">
        <v>4794</v>
      </c>
      <c r="L405" s="831">
        <v>200</v>
      </c>
      <c r="M405" s="830"/>
      <c r="N405" s="830" t="s">
        <v>4794</v>
      </c>
      <c r="O405" s="830" t="s">
        <v>4794</v>
      </c>
      <c r="P405" s="830" t="s">
        <v>4794</v>
      </c>
      <c r="Q405" s="832">
        <f t="shared" si="5"/>
        <v>400</v>
      </c>
      <c r="R405" s="833" t="s">
        <v>4025</v>
      </c>
      <c r="S405" s="834"/>
      <c r="T405" s="850"/>
      <c r="U405" s="850"/>
      <c r="V405" s="850"/>
      <c r="W405" s="850"/>
      <c r="X405" s="850"/>
      <c r="Y405" s="850"/>
      <c r="Z405" s="850"/>
      <c r="AA405" s="850"/>
      <c r="AB405" s="850"/>
      <c r="AC405" s="850"/>
      <c r="AD405" s="850"/>
      <c r="AE405" s="850"/>
      <c r="AF405" s="835"/>
    </row>
    <row r="406" spans="1:32" ht="21">
      <c r="A406" s="827">
        <v>383</v>
      </c>
      <c r="B406" s="828" t="s">
        <v>100</v>
      </c>
      <c r="C406" s="828" t="s">
        <v>4322</v>
      </c>
      <c r="D406" s="829" t="s">
        <v>4323</v>
      </c>
      <c r="E406" s="831">
        <v>50</v>
      </c>
      <c r="F406" s="830" t="s">
        <v>4794</v>
      </c>
      <c r="G406" s="830" t="s">
        <v>4794</v>
      </c>
      <c r="H406" s="831">
        <v>50</v>
      </c>
      <c r="I406" s="830" t="s">
        <v>4794</v>
      </c>
      <c r="J406" s="831">
        <v>200</v>
      </c>
      <c r="K406" s="830" t="s">
        <v>4794</v>
      </c>
      <c r="L406" s="830" t="s">
        <v>4794</v>
      </c>
      <c r="M406" s="831">
        <v>100</v>
      </c>
      <c r="N406" s="830" t="s">
        <v>4794</v>
      </c>
      <c r="O406" s="830" t="s">
        <v>4794</v>
      </c>
      <c r="P406" s="830" t="s">
        <v>4794</v>
      </c>
      <c r="Q406" s="832">
        <f t="shared" si="5"/>
        <v>400</v>
      </c>
      <c r="R406" s="833" t="s">
        <v>4025</v>
      </c>
      <c r="S406" s="834"/>
      <c r="T406" s="850"/>
      <c r="U406" s="850"/>
      <c r="V406" s="850"/>
      <c r="W406" s="850"/>
      <c r="X406" s="850"/>
      <c r="Y406" s="850"/>
      <c r="Z406" s="850"/>
      <c r="AA406" s="850"/>
      <c r="AB406" s="850"/>
      <c r="AC406" s="850"/>
      <c r="AD406" s="850"/>
      <c r="AE406" s="850"/>
      <c r="AF406" s="835"/>
    </row>
    <row r="407" spans="1:32" ht="21">
      <c r="A407" s="827">
        <v>384</v>
      </c>
      <c r="B407" s="828" t="s">
        <v>100</v>
      </c>
      <c r="C407" s="828" t="s">
        <v>4324</v>
      </c>
      <c r="D407" s="829" t="s">
        <v>4325</v>
      </c>
      <c r="E407" s="830" t="s">
        <v>4794</v>
      </c>
      <c r="F407" s="830"/>
      <c r="G407" s="830" t="s">
        <v>4794</v>
      </c>
      <c r="H407" s="830" t="s">
        <v>4794</v>
      </c>
      <c r="I407" s="830" t="s">
        <v>4794</v>
      </c>
      <c r="J407" s="830" t="s">
        <v>4794</v>
      </c>
      <c r="K407" s="830" t="s">
        <v>4794</v>
      </c>
      <c r="L407" s="830" t="s">
        <v>4794</v>
      </c>
      <c r="M407" s="830" t="s">
        <v>4794</v>
      </c>
      <c r="N407" s="831">
        <v>100</v>
      </c>
      <c r="O407" s="830" t="s">
        <v>4794</v>
      </c>
      <c r="P407" s="830" t="s">
        <v>4794</v>
      </c>
      <c r="Q407" s="832">
        <f t="shared" si="5"/>
        <v>100</v>
      </c>
      <c r="R407" s="833" t="s">
        <v>4025</v>
      </c>
      <c r="S407" s="834"/>
      <c r="T407" s="850"/>
      <c r="U407" s="850"/>
      <c r="V407" s="850"/>
      <c r="W407" s="850"/>
      <c r="X407" s="850"/>
      <c r="Y407" s="850"/>
      <c r="Z407" s="850"/>
      <c r="AA407" s="850"/>
      <c r="AB407" s="850"/>
      <c r="AC407" s="850"/>
      <c r="AD407" s="850"/>
      <c r="AE407" s="850"/>
      <c r="AF407" s="835"/>
    </row>
    <row r="408" spans="1:32" ht="31.5">
      <c r="A408" s="827">
        <v>385</v>
      </c>
      <c r="B408" s="828" t="s">
        <v>100</v>
      </c>
      <c r="C408" s="828" t="s">
        <v>4326</v>
      </c>
      <c r="D408" s="829" t="s">
        <v>4327</v>
      </c>
      <c r="E408" s="830" t="s">
        <v>4794</v>
      </c>
      <c r="F408" s="830" t="s">
        <v>4794</v>
      </c>
      <c r="G408" s="831">
        <v>200</v>
      </c>
      <c r="H408" s="830" t="s">
        <v>4794</v>
      </c>
      <c r="I408" s="830" t="s">
        <v>4794</v>
      </c>
      <c r="J408" s="831">
        <v>100</v>
      </c>
      <c r="K408" s="830" t="s">
        <v>4794</v>
      </c>
      <c r="L408" s="830" t="s">
        <v>4794</v>
      </c>
      <c r="M408" s="830"/>
      <c r="N408" s="830" t="s">
        <v>4794</v>
      </c>
      <c r="O408" s="830" t="s">
        <v>4794</v>
      </c>
      <c r="P408" s="830" t="s">
        <v>4794</v>
      </c>
      <c r="Q408" s="832">
        <f t="shared" si="5"/>
        <v>300</v>
      </c>
      <c r="R408" s="833" t="s">
        <v>4025</v>
      </c>
      <c r="S408" s="834"/>
      <c r="T408" s="850"/>
      <c r="U408" s="850"/>
      <c r="V408" s="850"/>
      <c r="W408" s="850"/>
      <c r="X408" s="850"/>
      <c r="Y408" s="850"/>
      <c r="Z408" s="850"/>
      <c r="AA408" s="850"/>
      <c r="AB408" s="850"/>
      <c r="AC408" s="850"/>
      <c r="AD408" s="850"/>
      <c r="AE408" s="850"/>
      <c r="AF408" s="835"/>
    </row>
    <row r="409" spans="1:32" ht="31.5">
      <c r="A409" s="827">
        <v>386</v>
      </c>
      <c r="B409" s="828" t="s">
        <v>100</v>
      </c>
      <c r="C409" s="828" t="s">
        <v>4328</v>
      </c>
      <c r="D409" s="829" t="s">
        <v>4329</v>
      </c>
      <c r="E409" s="830"/>
      <c r="F409" s="830"/>
      <c r="G409" s="830"/>
      <c r="H409" s="830"/>
      <c r="I409" s="830"/>
      <c r="J409" s="830"/>
      <c r="K409" s="830"/>
      <c r="L409" s="830"/>
      <c r="M409" s="830"/>
      <c r="N409" s="831">
        <v>100</v>
      </c>
      <c r="O409" s="831">
        <v>100</v>
      </c>
      <c r="P409" s="831">
        <v>100</v>
      </c>
      <c r="Q409" s="832">
        <f t="shared" si="5"/>
        <v>300</v>
      </c>
      <c r="R409" s="833" t="s">
        <v>2261</v>
      </c>
      <c r="S409" s="834"/>
      <c r="T409" s="850"/>
      <c r="U409" s="850"/>
      <c r="V409" s="850"/>
      <c r="W409" s="850"/>
      <c r="X409" s="850"/>
      <c r="Y409" s="850"/>
      <c r="Z409" s="850"/>
      <c r="AA409" s="850"/>
      <c r="AB409" s="850"/>
      <c r="AC409" s="850"/>
      <c r="AD409" s="850"/>
      <c r="AE409" s="850"/>
      <c r="AF409" s="835"/>
    </row>
    <row r="410" spans="1:32" ht="31.5">
      <c r="A410" s="827">
        <v>387</v>
      </c>
      <c r="B410" s="828" t="s">
        <v>100</v>
      </c>
      <c r="C410" s="828" t="s">
        <v>4330</v>
      </c>
      <c r="D410" s="829" t="s">
        <v>4331</v>
      </c>
      <c r="E410" s="830" t="s">
        <v>4794</v>
      </c>
      <c r="F410" s="830" t="s">
        <v>4794</v>
      </c>
      <c r="G410" s="831">
        <v>200</v>
      </c>
      <c r="H410" s="830" t="s">
        <v>4794</v>
      </c>
      <c r="I410" s="831">
        <v>100</v>
      </c>
      <c r="J410" s="831">
        <v>100</v>
      </c>
      <c r="K410" s="830"/>
      <c r="L410" s="830" t="s">
        <v>4794</v>
      </c>
      <c r="M410" s="831">
        <v>200</v>
      </c>
      <c r="N410" s="830" t="s">
        <v>4794</v>
      </c>
      <c r="O410" s="830"/>
      <c r="P410" s="830" t="s">
        <v>4794</v>
      </c>
      <c r="Q410" s="832">
        <f t="shared" si="5"/>
        <v>600</v>
      </c>
      <c r="R410" s="833" t="s">
        <v>2261</v>
      </c>
      <c r="S410" s="834"/>
      <c r="T410" s="850"/>
      <c r="U410" s="850"/>
      <c r="V410" s="850"/>
      <c r="W410" s="850"/>
      <c r="X410" s="850"/>
      <c r="Y410" s="850"/>
      <c r="Z410" s="850"/>
      <c r="AA410" s="850"/>
      <c r="AB410" s="850"/>
      <c r="AC410" s="850"/>
      <c r="AD410" s="850"/>
      <c r="AE410" s="850"/>
      <c r="AF410" s="835"/>
    </row>
    <row r="411" spans="1:32" ht="31.5">
      <c r="A411" s="827">
        <v>388</v>
      </c>
      <c r="B411" s="828" t="s">
        <v>100</v>
      </c>
      <c r="C411" s="828" t="s">
        <v>4332</v>
      </c>
      <c r="D411" s="829" t="s">
        <v>4333</v>
      </c>
      <c r="E411" s="830" t="s">
        <v>4794</v>
      </c>
      <c r="F411" s="830" t="s">
        <v>4794</v>
      </c>
      <c r="G411" s="831">
        <v>200</v>
      </c>
      <c r="H411" s="830"/>
      <c r="I411" s="831">
        <v>100</v>
      </c>
      <c r="J411" s="830" t="s">
        <v>4794</v>
      </c>
      <c r="K411" s="830" t="s">
        <v>4794</v>
      </c>
      <c r="L411" s="831">
        <v>100</v>
      </c>
      <c r="M411" s="830" t="s">
        <v>4794</v>
      </c>
      <c r="N411" s="831">
        <v>200</v>
      </c>
      <c r="O411" s="830" t="s">
        <v>4794</v>
      </c>
      <c r="P411" s="831">
        <v>100</v>
      </c>
      <c r="Q411" s="832">
        <f t="shared" si="5"/>
        <v>700</v>
      </c>
      <c r="R411" s="833" t="s">
        <v>4025</v>
      </c>
      <c r="S411" s="834"/>
      <c r="T411" s="850"/>
      <c r="U411" s="850"/>
      <c r="V411" s="850"/>
      <c r="W411" s="850"/>
      <c r="X411" s="850"/>
      <c r="Y411" s="850"/>
      <c r="Z411" s="850"/>
      <c r="AA411" s="850"/>
      <c r="AB411" s="850"/>
      <c r="AC411" s="850"/>
      <c r="AD411" s="850"/>
      <c r="AE411" s="850"/>
      <c r="AF411" s="835"/>
    </row>
    <row r="412" spans="1:32" ht="31.5">
      <c r="A412" s="827">
        <v>389</v>
      </c>
      <c r="B412" s="828" t="s">
        <v>100</v>
      </c>
      <c r="C412" s="828" t="s">
        <v>4334</v>
      </c>
      <c r="D412" s="829" t="s">
        <v>4335</v>
      </c>
      <c r="E412" s="830" t="s">
        <v>4794</v>
      </c>
      <c r="F412" s="830"/>
      <c r="G412" s="831">
        <v>10</v>
      </c>
      <c r="H412" s="830" t="s">
        <v>4794</v>
      </c>
      <c r="I412" s="830"/>
      <c r="J412" s="831">
        <v>10</v>
      </c>
      <c r="K412" s="830"/>
      <c r="L412" s="830"/>
      <c r="M412" s="831">
        <v>20</v>
      </c>
      <c r="N412" s="830" t="s">
        <v>4794</v>
      </c>
      <c r="O412" s="830" t="s">
        <v>4794</v>
      </c>
      <c r="P412" s="830" t="s">
        <v>4794</v>
      </c>
      <c r="Q412" s="832">
        <f t="shared" si="5"/>
        <v>40</v>
      </c>
      <c r="R412" s="833" t="s">
        <v>4025</v>
      </c>
      <c r="S412" s="834"/>
      <c r="T412" s="850"/>
      <c r="U412" s="850"/>
      <c r="V412" s="850"/>
      <c r="W412" s="850"/>
      <c r="X412" s="850"/>
      <c r="Y412" s="850"/>
      <c r="Z412" s="850"/>
      <c r="AA412" s="850"/>
      <c r="AB412" s="850"/>
      <c r="AC412" s="850"/>
      <c r="AD412" s="850"/>
      <c r="AE412" s="850"/>
      <c r="AF412" s="835"/>
    </row>
    <row r="413" spans="1:32" ht="31.5">
      <c r="A413" s="827">
        <v>390</v>
      </c>
      <c r="B413" s="828" t="s">
        <v>100</v>
      </c>
      <c r="C413" s="828" t="s">
        <v>4336</v>
      </c>
      <c r="D413" s="829" t="s">
        <v>4337</v>
      </c>
      <c r="E413" s="830" t="s">
        <v>4794</v>
      </c>
      <c r="F413" s="830"/>
      <c r="G413" s="830"/>
      <c r="H413" s="831">
        <v>10</v>
      </c>
      <c r="I413" s="830"/>
      <c r="J413" s="830" t="s">
        <v>4794</v>
      </c>
      <c r="K413" s="830" t="s">
        <v>4794</v>
      </c>
      <c r="L413" s="831">
        <v>10</v>
      </c>
      <c r="M413" s="831">
        <v>20</v>
      </c>
      <c r="N413" s="830" t="s">
        <v>4794</v>
      </c>
      <c r="O413" s="830" t="s">
        <v>4794</v>
      </c>
      <c r="P413" s="830" t="s">
        <v>4794</v>
      </c>
      <c r="Q413" s="832">
        <f t="shared" si="5"/>
        <v>40</v>
      </c>
      <c r="R413" s="833" t="s">
        <v>4025</v>
      </c>
      <c r="S413" s="834"/>
      <c r="T413" s="850"/>
      <c r="U413" s="850"/>
      <c r="V413" s="850"/>
      <c r="W413" s="850"/>
      <c r="X413" s="850"/>
      <c r="Y413" s="850"/>
      <c r="Z413" s="850"/>
      <c r="AA413" s="850"/>
      <c r="AB413" s="850"/>
      <c r="AC413" s="850"/>
      <c r="AD413" s="850"/>
      <c r="AE413" s="850"/>
      <c r="AF413" s="835"/>
    </row>
    <row r="414" spans="1:32" ht="42">
      <c r="A414" s="827">
        <v>391</v>
      </c>
      <c r="B414" s="828" t="s">
        <v>100</v>
      </c>
      <c r="C414" s="828" t="s">
        <v>4338</v>
      </c>
      <c r="D414" s="829" t="s">
        <v>4339</v>
      </c>
      <c r="E414" s="830" t="s">
        <v>4794</v>
      </c>
      <c r="F414" s="830" t="s">
        <v>4794</v>
      </c>
      <c r="G414" s="830" t="s">
        <v>4794</v>
      </c>
      <c r="H414" s="830" t="s">
        <v>4794</v>
      </c>
      <c r="I414" s="831">
        <v>5</v>
      </c>
      <c r="J414" s="830" t="s">
        <v>4794</v>
      </c>
      <c r="K414" s="831">
        <v>5</v>
      </c>
      <c r="L414" s="830" t="s">
        <v>4794</v>
      </c>
      <c r="M414" s="830" t="s">
        <v>4794</v>
      </c>
      <c r="N414" s="830" t="s">
        <v>4794</v>
      </c>
      <c r="O414" s="830" t="s">
        <v>4794</v>
      </c>
      <c r="P414" s="830" t="s">
        <v>4794</v>
      </c>
      <c r="Q414" s="832">
        <f t="shared" si="5"/>
        <v>10</v>
      </c>
      <c r="R414" s="833" t="s">
        <v>4025</v>
      </c>
      <c r="S414" s="834"/>
      <c r="T414" s="850"/>
      <c r="U414" s="850"/>
      <c r="V414" s="850"/>
      <c r="W414" s="850"/>
      <c r="X414" s="850"/>
      <c r="Y414" s="850"/>
      <c r="Z414" s="850"/>
      <c r="AA414" s="850"/>
      <c r="AB414" s="850"/>
      <c r="AC414" s="850"/>
      <c r="AD414" s="850"/>
      <c r="AE414" s="850"/>
      <c r="AF414" s="835"/>
    </row>
    <row r="415" spans="1:32" ht="42">
      <c r="A415" s="827">
        <v>392</v>
      </c>
      <c r="B415" s="828" t="s">
        <v>100</v>
      </c>
      <c r="C415" s="828" t="s">
        <v>4340</v>
      </c>
      <c r="D415" s="829" t="s">
        <v>4341</v>
      </c>
      <c r="E415" s="830" t="s">
        <v>4794</v>
      </c>
      <c r="F415" s="830" t="s">
        <v>4794</v>
      </c>
      <c r="G415" s="830" t="s">
        <v>4794</v>
      </c>
      <c r="H415" s="830" t="s">
        <v>4794</v>
      </c>
      <c r="I415" s="831">
        <v>5</v>
      </c>
      <c r="J415" s="830" t="s">
        <v>4794</v>
      </c>
      <c r="K415" s="831">
        <v>5</v>
      </c>
      <c r="L415" s="830" t="s">
        <v>4794</v>
      </c>
      <c r="M415" s="830" t="s">
        <v>4794</v>
      </c>
      <c r="N415" s="830" t="s">
        <v>4794</v>
      </c>
      <c r="O415" s="830" t="s">
        <v>4794</v>
      </c>
      <c r="P415" s="830" t="s">
        <v>4794</v>
      </c>
      <c r="Q415" s="832">
        <f t="shared" si="5"/>
        <v>10</v>
      </c>
      <c r="R415" s="833" t="s">
        <v>4025</v>
      </c>
      <c r="S415" s="834"/>
      <c r="T415" s="850"/>
      <c r="U415" s="850"/>
      <c r="V415" s="850"/>
      <c r="W415" s="850"/>
      <c r="X415" s="850"/>
      <c r="Y415" s="850"/>
      <c r="Z415" s="850"/>
      <c r="AA415" s="850"/>
      <c r="AB415" s="850"/>
      <c r="AC415" s="850"/>
      <c r="AD415" s="850"/>
      <c r="AE415" s="850"/>
      <c r="AF415" s="835"/>
    </row>
    <row r="416" spans="1:32" ht="42">
      <c r="A416" s="827">
        <v>393</v>
      </c>
      <c r="B416" s="828" t="s">
        <v>100</v>
      </c>
      <c r="C416" s="828" t="s">
        <v>4342</v>
      </c>
      <c r="D416" s="829" t="s">
        <v>4343</v>
      </c>
      <c r="E416" s="830" t="s">
        <v>4794</v>
      </c>
      <c r="F416" s="830" t="s">
        <v>4794</v>
      </c>
      <c r="G416" s="830" t="s">
        <v>4794</v>
      </c>
      <c r="H416" s="830" t="s">
        <v>4794</v>
      </c>
      <c r="I416" s="831">
        <v>20</v>
      </c>
      <c r="J416" s="830" t="s">
        <v>4794</v>
      </c>
      <c r="K416" s="831">
        <v>20</v>
      </c>
      <c r="L416" s="830" t="s">
        <v>4794</v>
      </c>
      <c r="M416" s="830" t="s">
        <v>4794</v>
      </c>
      <c r="N416" s="830" t="s">
        <v>4794</v>
      </c>
      <c r="O416" s="830" t="s">
        <v>4794</v>
      </c>
      <c r="P416" s="830" t="s">
        <v>4794</v>
      </c>
      <c r="Q416" s="832">
        <f t="shared" si="5"/>
        <v>40</v>
      </c>
      <c r="R416" s="833" t="s">
        <v>4025</v>
      </c>
      <c r="S416" s="834"/>
      <c r="T416" s="850"/>
      <c r="U416" s="850"/>
      <c r="V416" s="850"/>
      <c r="W416" s="850"/>
      <c r="X416" s="850"/>
      <c r="Y416" s="850"/>
      <c r="Z416" s="850"/>
      <c r="AA416" s="850"/>
      <c r="AB416" s="850"/>
      <c r="AC416" s="850"/>
      <c r="AD416" s="850"/>
      <c r="AE416" s="850"/>
      <c r="AF416" s="835"/>
    </row>
    <row r="417" spans="1:32" ht="21">
      <c r="A417" s="827">
        <v>394</v>
      </c>
      <c r="B417" s="828" t="s">
        <v>100</v>
      </c>
      <c r="C417" s="828" t="s">
        <v>4344</v>
      </c>
      <c r="D417" s="829" t="s">
        <v>4345</v>
      </c>
      <c r="E417" s="830" t="s">
        <v>4794</v>
      </c>
      <c r="F417" s="830" t="s">
        <v>4794</v>
      </c>
      <c r="G417" s="830" t="s">
        <v>4794</v>
      </c>
      <c r="H417" s="831">
        <v>10</v>
      </c>
      <c r="I417" s="830" t="s">
        <v>4794</v>
      </c>
      <c r="J417" s="830" t="s">
        <v>4794</v>
      </c>
      <c r="K417" s="831">
        <v>10</v>
      </c>
      <c r="L417" s="830" t="s">
        <v>4794</v>
      </c>
      <c r="M417" s="830" t="s">
        <v>4794</v>
      </c>
      <c r="N417" s="830" t="s">
        <v>4794</v>
      </c>
      <c r="O417" s="830" t="s">
        <v>4794</v>
      </c>
      <c r="P417" s="830" t="s">
        <v>4794</v>
      </c>
      <c r="Q417" s="832">
        <f t="shared" si="5"/>
        <v>20</v>
      </c>
      <c r="R417" s="833" t="s">
        <v>4025</v>
      </c>
      <c r="S417" s="834"/>
      <c r="T417" s="853"/>
      <c r="U417" s="853"/>
      <c r="V417" s="853"/>
      <c r="W417" s="853"/>
      <c r="X417" s="853"/>
      <c r="Y417" s="853"/>
      <c r="Z417" s="853"/>
      <c r="AA417" s="853"/>
      <c r="AB417" s="853"/>
      <c r="AC417" s="853"/>
      <c r="AD417" s="853"/>
      <c r="AE417" s="853"/>
      <c r="AF417" s="835"/>
    </row>
    <row r="418" spans="1:32" ht="52.5">
      <c r="A418" s="827">
        <v>395</v>
      </c>
      <c r="B418" s="828" t="s">
        <v>100</v>
      </c>
      <c r="C418" s="828" t="s">
        <v>4346</v>
      </c>
      <c r="D418" s="829" t="s">
        <v>4347</v>
      </c>
      <c r="E418" s="830" t="s">
        <v>4794</v>
      </c>
      <c r="F418" s="830" t="s">
        <v>4794</v>
      </c>
      <c r="G418" s="831">
        <v>4</v>
      </c>
      <c r="H418" s="830" t="s">
        <v>4794</v>
      </c>
      <c r="I418" s="831">
        <v>4</v>
      </c>
      <c r="J418" s="830" t="s">
        <v>4794</v>
      </c>
      <c r="K418" s="831">
        <v>4</v>
      </c>
      <c r="L418" s="830" t="s">
        <v>4794</v>
      </c>
      <c r="M418" s="831">
        <v>4</v>
      </c>
      <c r="N418" s="830" t="s">
        <v>4794</v>
      </c>
      <c r="O418" s="831">
        <v>4</v>
      </c>
      <c r="P418" s="830" t="s">
        <v>4794</v>
      </c>
      <c r="Q418" s="832">
        <f t="shared" si="5"/>
        <v>20</v>
      </c>
      <c r="R418" s="833" t="s">
        <v>4025</v>
      </c>
      <c r="S418" s="834"/>
      <c r="T418" s="853"/>
      <c r="U418" s="853"/>
      <c r="V418" s="853"/>
      <c r="W418" s="853"/>
      <c r="X418" s="853"/>
      <c r="Y418" s="853"/>
      <c r="Z418" s="853"/>
      <c r="AA418" s="853"/>
      <c r="AB418" s="853"/>
      <c r="AC418" s="853"/>
      <c r="AD418" s="853"/>
      <c r="AE418" s="853"/>
      <c r="AF418" s="835"/>
    </row>
    <row r="419" spans="1:32" ht="42">
      <c r="A419" s="827">
        <v>396</v>
      </c>
      <c r="B419" s="828" t="s">
        <v>100</v>
      </c>
      <c r="C419" s="828" t="s">
        <v>4348</v>
      </c>
      <c r="D419" s="829" t="s">
        <v>4349</v>
      </c>
      <c r="E419" s="830" t="s">
        <v>4794</v>
      </c>
      <c r="F419" s="830" t="s">
        <v>4794</v>
      </c>
      <c r="G419" s="831">
        <v>5</v>
      </c>
      <c r="H419" s="830" t="s">
        <v>4794</v>
      </c>
      <c r="I419" s="830" t="s">
        <v>4794</v>
      </c>
      <c r="J419" s="831">
        <v>5</v>
      </c>
      <c r="K419" s="830" t="s">
        <v>4794</v>
      </c>
      <c r="L419" s="830" t="s">
        <v>4794</v>
      </c>
      <c r="M419" s="831">
        <v>5</v>
      </c>
      <c r="N419" s="830" t="s">
        <v>4794</v>
      </c>
      <c r="O419" s="830" t="s">
        <v>4794</v>
      </c>
      <c r="P419" s="830" t="s">
        <v>4794</v>
      </c>
      <c r="Q419" s="832">
        <f t="shared" si="5"/>
        <v>15</v>
      </c>
      <c r="R419" s="833" t="s">
        <v>3714</v>
      </c>
      <c r="S419" s="834"/>
      <c r="T419" s="850"/>
      <c r="U419" s="850"/>
      <c r="V419" s="850"/>
      <c r="W419" s="850"/>
      <c r="X419" s="850"/>
      <c r="Y419" s="850"/>
      <c r="Z419" s="850"/>
      <c r="AA419" s="850"/>
      <c r="AB419" s="850"/>
      <c r="AC419" s="850"/>
      <c r="AD419" s="850"/>
      <c r="AE419" s="850"/>
      <c r="AF419" s="835"/>
    </row>
    <row r="420" spans="1:32" ht="42">
      <c r="A420" s="827">
        <v>397</v>
      </c>
      <c r="B420" s="828" t="s">
        <v>100</v>
      </c>
      <c r="C420" s="828" t="s">
        <v>4350</v>
      </c>
      <c r="D420" s="829" t="s">
        <v>4351</v>
      </c>
      <c r="E420" s="830" t="s">
        <v>4794</v>
      </c>
      <c r="F420" s="830" t="s">
        <v>4794</v>
      </c>
      <c r="G420" s="831">
        <v>5</v>
      </c>
      <c r="H420" s="830" t="s">
        <v>4794</v>
      </c>
      <c r="I420" s="830" t="s">
        <v>4794</v>
      </c>
      <c r="J420" s="831">
        <v>5</v>
      </c>
      <c r="K420" s="830" t="s">
        <v>4794</v>
      </c>
      <c r="L420" s="830" t="s">
        <v>4794</v>
      </c>
      <c r="M420" s="831">
        <v>5</v>
      </c>
      <c r="N420" s="830" t="s">
        <v>4794</v>
      </c>
      <c r="O420" s="830" t="s">
        <v>4794</v>
      </c>
      <c r="P420" s="830" t="s">
        <v>4794</v>
      </c>
      <c r="Q420" s="832">
        <f t="shared" si="5"/>
        <v>15</v>
      </c>
      <c r="R420" s="833" t="s">
        <v>3714</v>
      </c>
      <c r="S420" s="834"/>
      <c r="T420" s="850"/>
      <c r="U420" s="850"/>
      <c r="V420" s="850"/>
      <c r="W420" s="850"/>
      <c r="X420" s="850"/>
      <c r="Y420" s="850"/>
      <c r="Z420" s="850"/>
      <c r="AA420" s="850"/>
      <c r="AB420" s="850"/>
      <c r="AC420" s="850"/>
      <c r="AD420" s="850"/>
      <c r="AE420" s="850"/>
      <c r="AF420" s="835"/>
    </row>
    <row r="421" spans="1:32" ht="31.5">
      <c r="A421" s="827">
        <v>398</v>
      </c>
      <c r="B421" s="828" t="s">
        <v>100</v>
      </c>
      <c r="C421" s="828" t="s">
        <v>4352</v>
      </c>
      <c r="D421" s="829" t="s">
        <v>4353</v>
      </c>
      <c r="E421" s="830" t="s">
        <v>4794</v>
      </c>
      <c r="F421" s="830" t="s">
        <v>4794</v>
      </c>
      <c r="G421" s="830" t="s">
        <v>4794</v>
      </c>
      <c r="H421" s="831">
        <v>100</v>
      </c>
      <c r="I421" s="830" t="s">
        <v>4794</v>
      </c>
      <c r="J421" s="830" t="s">
        <v>4794</v>
      </c>
      <c r="K421" s="831">
        <v>100</v>
      </c>
      <c r="L421" s="831">
        <v>100</v>
      </c>
      <c r="M421" s="830" t="s">
        <v>4794</v>
      </c>
      <c r="N421" s="830" t="s">
        <v>4794</v>
      </c>
      <c r="O421" s="831">
        <v>60</v>
      </c>
      <c r="P421" s="830" t="s">
        <v>4794</v>
      </c>
      <c r="Q421" s="832">
        <f t="shared" si="5"/>
        <v>360</v>
      </c>
      <c r="R421" s="833" t="s">
        <v>4025</v>
      </c>
      <c r="S421" s="834"/>
      <c r="T421" s="850"/>
      <c r="U421" s="850"/>
      <c r="V421" s="850"/>
      <c r="W421" s="850"/>
      <c r="X421" s="850"/>
      <c r="Y421" s="850"/>
      <c r="Z421" s="850"/>
      <c r="AA421" s="850"/>
      <c r="AB421" s="850"/>
      <c r="AC421" s="850"/>
      <c r="AD421" s="850"/>
      <c r="AE421" s="850"/>
      <c r="AF421" s="835"/>
    </row>
    <row r="422" spans="1:32" ht="31.5">
      <c r="A422" s="827">
        <v>399</v>
      </c>
      <c r="B422" s="828" t="s">
        <v>100</v>
      </c>
      <c r="C422" s="828" t="s">
        <v>4354</v>
      </c>
      <c r="D422" s="829" t="s">
        <v>4355</v>
      </c>
      <c r="E422" s="830" t="s">
        <v>4794</v>
      </c>
      <c r="F422" s="830" t="s">
        <v>4794</v>
      </c>
      <c r="G422" s="830" t="s">
        <v>4794</v>
      </c>
      <c r="H422" s="831">
        <v>100</v>
      </c>
      <c r="I422" s="830" t="s">
        <v>4794</v>
      </c>
      <c r="J422" s="830" t="s">
        <v>4794</v>
      </c>
      <c r="K422" s="831">
        <v>100</v>
      </c>
      <c r="L422" s="831">
        <v>100</v>
      </c>
      <c r="M422" s="830" t="s">
        <v>4794</v>
      </c>
      <c r="N422" s="830" t="s">
        <v>4794</v>
      </c>
      <c r="O422" s="831">
        <v>60</v>
      </c>
      <c r="P422" s="830" t="s">
        <v>4794</v>
      </c>
      <c r="Q422" s="832">
        <f t="shared" si="5"/>
        <v>360</v>
      </c>
      <c r="R422" s="833" t="s">
        <v>4025</v>
      </c>
      <c r="S422" s="834"/>
      <c r="T422" s="850"/>
      <c r="U422" s="850"/>
      <c r="V422" s="850"/>
      <c r="W422" s="850"/>
      <c r="X422" s="850"/>
      <c r="Y422" s="850"/>
      <c r="Z422" s="850"/>
      <c r="AA422" s="850"/>
      <c r="AB422" s="850"/>
      <c r="AC422" s="850"/>
      <c r="AD422" s="850"/>
      <c r="AE422" s="850"/>
      <c r="AF422" s="835"/>
    </row>
    <row r="423" spans="1:32" ht="31.5">
      <c r="A423" s="827">
        <v>400</v>
      </c>
      <c r="B423" s="828" t="s">
        <v>100</v>
      </c>
      <c r="C423" s="828" t="s">
        <v>4356</v>
      </c>
      <c r="D423" s="829" t="s">
        <v>4357</v>
      </c>
      <c r="E423" s="831">
        <v>5</v>
      </c>
      <c r="F423" s="831">
        <v>5</v>
      </c>
      <c r="G423" s="831">
        <v>5</v>
      </c>
      <c r="H423" s="831">
        <v>5</v>
      </c>
      <c r="I423" s="831">
        <v>5</v>
      </c>
      <c r="J423" s="831">
        <v>5</v>
      </c>
      <c r="K423" s="831">
        <v>5</v>
      </c>
      <c r="L423" s="831">
        <v>5</v>
      </c>
      <c r="M423" s="831">
        <v>5</v>
      </c>
      <c r="N423" s="831">
        <v>5</v>
      </c>
      <c r="O423" s="831">
        <v>5</v>
      </c>
      <c r="P423" s="831">
        <v>5</v>
      </c>
      <c r="Q423" s="832">
        <f t="shared" ref="Q423:Q494" si="6">SUM(E423:P423)</f>
        <v>60</v>
      </c>
      <c r="R423" s="833" t="s">
        <v>4025</v>
      </c>
      <c r="S423" s="834"/>
      <c r="T423" s="850"/>
      <c r="U423" s="850"/>
      <c r="V423" s="850"/>
      <c r="W423" s="850"/>
      <c r="X423" s="850"/>
      <c r="Y423" s="850"/>
      <c r="Z423" s="850"/>
      <c r="AA423" s="850"/>
      <c r="AB423" s="850"/>
      <c r="AC423" s="850"/>
      <c r="AD423" s="850"/>
      <c r="AE423" s="850"/>
      <c r="AF423" s="835"/>
    </row>
    <row r="424" spans="1:32" ht="31.5">
      <c r="A424" s="827">
        <v>401</v>
      </c>
      <c r="B424" s="828" t="s">
        <v>100</v>
      </c>
      <c r="C424" s="828" t="s">
        <v>4358</v>
      </c>
      <c r="D424" s="829" t="s">
        <v>4359</v>
      </c>
      <c r="E424" s="831">
        <v>5</v>
      </c>
      <c r="F424" s="831">
        <v>5</v>
      </c>
      <c r="G424" s="831">
        <v>5</v>
      </c>
      <c r="H424" s="831">
        <v>5</v>
      </c>
      <c r="I424" s="831">
        <v>5</v>
      </c>
      <c r="J424" s="831">
        <v>5</v>
      </c>
      <c r="K424" s="831">
        <v>5</v>
      </c>
      <c r="L424" s="831">
        <v>5</v>
      </c>
      <c r="M424" s="831">
        <v>5</v>
      </c>
      <c r="N424" s="831">
        <v>5</v>
      </c>
      <c r="O424" s="831">
        <v>5</v>
      </c>
      <c r="P424" s="831">
        <v>5</v>
      </c>
      <c r="Q424" s="832">
        <f t="shared" si="6"/>
        <v>60</v>
      </c>
      <c r="R424" s="833" t="s">
        <v>4025</v>
      </c>
      <c r="S424" s="834"/>
      <c r="T424" s="850"/>
      <c r="U424" s="850"/>
      <c r="V424" s="850"/>
      <c r="W424" s="850"/>
      <c r="X424" s="850"/>
      <c r="Y424" s="850"/>
      <c r="Z424" s="850"/>
      <c r="AA424" s="850"/>
      <c r="AB424" s="850"/>
      <c r="AC424" s="850"/>
      <c r="AD424" s="850"/>
      <c r="AE424" s="850"/>
      <c r="AF424" s="835"/>
    </row>
    <row r="425" spans="1:32" ht="42">
      <c r="A425" s="827">
        <v>402</v>
      </c>
      <c r="B425" s="828" t="s">
        <v>100</v>
      </c>
      <c r="C425" s="828" t="s">
        <v>4360</v>
      </c>
      <c r="D425" s="829" t="s">
        <v>4361</v>
      </c>
      <c r="E425" s="830" t="s">
        <v>4794</v>
      </c>
      <c r="F425" s="830" t="s">
        <v>4794</v>
      </c>
      <c r="G425" s="830" t="s">
        <v>4794</v>
      </c>
      <c r="H425" s="831">
        <v>1</v>
      </c>
      <c r="I425" s="830" t="s">
        <v>4794</v>
      </c>
      <c r="J425" s="830"/>
      <c r="K425" s="830" t="s">
        <v>4794</v>
      </c>
      <c r="L425" s="830" t="s">
        <v>4794</v>
      </c>
      <c r="M425" s="830" t="s">
        <v>4794</v>
      </c>
      <c r="N425" s="830" t="s">
        <v>4794</v>
      </c>
      <c r="O425" s="830" t="s">
        <v>4794</v>
      </c>
      <c r="P425" s="830" t="s">
        <v>4794</v>
      </c>
      <c r="Q425" s="832">
        <f t="shared" si="6"/>
        <v>1</v>
      </c>
      <c r="R425" s="833" t="s">
        <v>3714</v>
      </c>
      <c r="S425" s="834"/>
      <c r="T425" s="850"/>
      <c r="U425" s="850"/>
      <c r="V425" s="850"/>
      <c r="W425" s="850"/>
      <c r="X425" s="850"/>
      <c r="Y425" s="850"/>
      <c r="Z425" s="850"/>
      <c r="AA425" s="850"/>
      <c r="AB425" s="850"/>
      <c r="AC425" s="850"/>
      <c r="AD425" s="850"/>
      <c r="AE425" s="850"/>
      <c r="AF425" s="835"/>
    </row>
    <row r="426" spans="1:32" ht="42">
      <c r="A426" s="827">
        <v>403</v>
      </c>
      <c r="B426" s="828" t="s">
        <v>100</v>
      </c>
      <c r="C426" s="828" t="s">
        <v>4362</v>
      </c>
      <c r="D426" s="829" t="s">
        <v>4363</v>
      </c>
      <c r="E426" s="830" t="s">
        <v>4794</v>
      </c>
      <c r="F426" s="830" t="s">
        <v>4794</v>
      </c>
      <c r="G426" s="830" t="s">
        <v>4794</v>
      </c>
      <c r="H426" s="830" t="s">
        <v>4794</v>
      </c>
      <c r="I426" s="831">
        <v>1</v>
      </c>
      <c r="J426" s="830" t="s">
        <v>4794</v>
      </c>
      <c r="K426" s="830" t="s">
        <v>4794</v>
      </c>
      <c r="L426" s="830" t="s">
        <v>4794</v>
      </c>
      <c r="M426" s="830" t="s">
        <v>4794</v>
      </c>
      <c r="N426" s="830" t="s">
        <v>4794</v>
      </c>
      <c r="O426" s="830" t="s">
        <v>4794</v>
      </c>
      <c r="P426" s="830" t="s">
        <v>4794</v>
      </c>
      <c r="Q426" s="832">
        <f t="shared" si="6"/>
        <v>1</v>
      </c>
      <c r="R426" s="833" t="s">
        <v>3714</v>
      </c>
      <c r="S426" s="836"/>
      <c r="T426" s="852"/>
      <c r="U426" s="852"/>
      <c r="V426" s="852"/>
      <c r="W426" s="852"/>
      <c r="X426" s="852"/>
      <c r="Y426" s="852"/>
      <c r="Z426" s="852"/>
      <c r="AA426" s="852"/>
      <c r="AB426" s="852"/>
      <c r="AC426" s="852"/>
      <c r="AD426" s="852"/>
      <c r="AE426" s="852"/>
      <c r="AF426" s="837"/>
    </row>
    <row r="427" spans="1:32" ht="21">
      <c r="A427" s="827">
        <v>404</v>
      </c>
      <c r="B427" s="828" t="s">
        <v>100</v>
      </c>
      <c r="C427" s="828">
        <v>3605733</v>
      </c>
      <c r="D427" s="829" t="s">
        <v>4364</v>
      </c>
      <c r="E427" s="830"/>
      <c r="F427" s="830"/>
      <c r="G427" s="830"/>
      <c r="H427" s="831">
        <v>100</v>
      </c>
      <c r="I427" s="830"/>
      <c r="J427" s="831">
        <v>100</v>
      </c>
      <c r="K427" s="830"/>
      <c r="L427" s="830"/>
      <c r="M427" s="831">
        <v>100</v>
      </c>
      <c r="N427" s="830"/>
      <c r="O427" s="830"/>
      <c r="P427" s="830"/>
      <c r="Q427" s="832">
        <f t="shared" si="6"/>
        <v>300</v>
      </c>
      <c r="R427" s="833" t="s">
        <v>2261</v>
      </c>
      <c r="S427" s="834"/>
      <c r="T427" s="850"/>
      <c r="U427" s="850"/>
      <c r="V427" s="850"/>
      <c r="W427" s="850"/>
      <c r="X427" s="850"/>
      <c r="Y427" s="850"/>
      <c r="Z427" s="850"/>
      <c r="AA427" s="850"/>
      <c r="AB427" s="850"/>
      <c r="AC427" s="850"/>
      <c r="AD427" s="850"/>
      <c r="AE427" s="850"/>
      <c r="AF427" s="835"/>
    </row>
    <row r="428" spans="1:32" ht="21">
      <c r="A428" s="827">
        <v>405</v>
      </c>
      <c r="B428" s="828" t="s">
        <v>100</v>
      </c>
      <c r="C428" s="828">
        <v>9107546</v>
      </c>
      <c r="D428" s="829" t="s">
        <v>4365</v>
      </c>
      <c r="E428" s="830"/>
      <c r="F428" s="830"/>
      <c r="G428" s="830"/>
      <c r="H428" s="831">
        <v>100</v>
      </c>
      <c r="I428" s="830"/>
      <c r="J428" s="831">
        <v>100</v>
      </c>
      <c r="K428" s="830"/>
      <c r="L428" s="831">
        <v>100</v>
      </c>
      <c r="M428" s="830"/>
      <c r="N428" s="831">
        <v>100</v>
      </c>
      <c r="O428" s="830"/>
      <c r="P428" s="830"/>
      <c r="Q428" s="832">
        <f t="shared" si="6"/>
        <v>400</v>
      </c>
      <c r="R428" s="833" t="s">
        <v>2261</v>
      </c>
      <c r="S428" s="834"/>
      <c r="T428" s="850"/>
      <c r="U428" s="850"/>
      <c r="V428" s="850"/>
      <c r="W428" s="850"/>
      <c r="X428" s="850"/>
      <c r="Y428" s="850"/>
      <c r="Z428" s="850"/>
      <c r="AA428" s="850"/>
      <c r="AB428" s="850"/>
      <c r="AC428" s="850"/>
      <c r="AD428" s="850"/>
      <c r="AE428" s="850"/>
      <c r="AF428" s="835"/>
    </row>
    <row r="429" spans="1:32" ht="21">
      <c r="A429" s="827">
        <v>406</v>
      </c>
      <c r="B429" s="828" t="s">
        <v>100</v>
      </c>
      <c r="C429" s="828" t="s">
        <v>4366</v>
      </c>
      <c r="D429" s="829" t="s">
        <v>4367</v>
      </c>
      <c r="E429" s="830" t="s">
        <v>4794</v>
      </c>
      <c r="F429" s="830" t="s">
        <v>4794</v>
      </c>
      <c r="G429" s="831">
        <v>100</v>
      </c>
      <c r="H429" s="830" t="s">
        <v>4794</v>
      </c>
      <c r="I429" s="831">
        <v>200</v>
      </c>
      <c r="J429" s="831">
        <v>100</v>
      </c>
      <c r="K429" s="831">
        <v>100</v>
      </c>
      <c r="L429" s="830" t="s">
        <v>4794</v>
      </c>
      <c r="M429" s="830" t="s">
        <v>4794</v>
      </c>
      <c r="N429" s="831">
        <v>100</v>
      </c>
      <c r="O429" s="830"/>
      <c r="P429" s="830" t="s">
        <v>4794</v>
      </c>
      <c r="Q429" s="832">
        <f t="shared" si="6"/>
        <v>600</v>
      </c>
      <c r="R429" s="833" t="s">
        <v>2261</v>
      </c>
      <c r="S429" s="834"/>
      <c r="T429" s="850"/>
      <c r="U429" s="850"/>
      <c r="V429" s="850"/>
      <c r="W429" s="850"/>
      <c r="X429" s="850"/>
      <c r="Y429" s="850"/>
      <c r="Z429" s="850"/>
      <c r="AA429" s="850"/>
      <c r="AB429" s="850"/>
      <c r="AC429" s="850"/>
      <c r="AD429" s="850"/>
      <c r="AE429" s="850"/>
      <c r="AF429" s="835"/>
    </row>
    <row r="430" spans="1:32" ht="21">
      <c r="A430" s="827">
        <v>407</v>
      </c>
      <c r="B430" s="828" t="s">
        <v>100</v>
      </c>
      <c r="C430" s="828" t="s">
        <v>4368</v>
      </c>
      <c r="D430" s="829" t="s">
        <v>4369</v>
      </c>
      <c r="E430" s="830" t="s">
        <v>4794</v>
      </c>
      <c r="F430" s="830"/>
      <c r="G430" s="831">
        <v>100</v>
      </c>
      <c r="H430" s="831">
        <v>100</v>
      </c>
      <c r="I430" s="830" t="s">
        <v>4794</v>
      </c>
      <c r="J430" s="831">
        <v>100</v>
      </c>
      <c r="K430" s="830" t="s">
        <v>4794</v>
      </c>
      <c r="L430" s="831">
        <v>200</v>
      </c>
      <c r="M430" s="831">
        <v>100</v>
      </c>
      <c r="N430" s="830"/>
      <c r="O430" s="830"/>
      <c r="P430" s="830"/>
      <c r="Q430" s="832">
        <f t="shared" si="6"/>
        <v>600</v>
      </c>
      <c r="R430" s="833" t="s">
        <v>236</v>
      </c>
      <c r="S430" s="834"/>
      <c r="T430" s="850"/>
      <c r="U430" s="850"/>
      <c r="V430" s="850"/>
      <c r="W430" s="850"/>
      <c r="X430" s="850"/>
      <c r="Y430" s="850"/>
      <c r="Z430" s="850"/>
      <c r="AA430" s="850"/>
      <c r="AB430" s="850"/>
      <c r="AC430" s="850"/>
      <c r="AD430" s="850"/>
      <c r="AE430" s="850"/>
      <c r="AF430" s="835"/>
    </row>
    <row r="431" spans="1:32" ht="21">
      <c r="A431" s="827">
        <v>408</v>
      </c>
      <c r="B431" s="828" t="s">
        <v>100</v>
      </c>
      <c r="C431" s="828" t="s">
        <v>4370</v>
      </c>
      <c r="D431" s="829" t="s">
        <v>4371</v>
      </c>
      <c r="E431" s="831">
        <v>100</v>
      </c>
      <c r="F431" s="830" t="s">
        <v>4794</v>
      </c>
      <c r="G431" s="831">
        <v>100</v>
      </c>
      <c r="H431" s="831">
        <v>100</v>
      </c>
      <c r="I431" s="831">
        <v>100</v>
      </c>
      <c r="J431" s="830" t="s">
        <v>4794</v>
      </c>
      <c r="K431" s="830" t="s">
        <v>4794</v>
      </c>
      <c r="L431" s="831">
        <v>100</v>
      </c>
      <c r="M431" s="830"/>
      <c r="N431" s="831">
        <v>100</v>
      </c>
      <c r="O431" s="830"/>
      <c r="P431" s="830"/>
      <c r="Q431" s="832">
        <f t="shared" si="6"/>
        <v>600</v>
      </c>
      <c r="R431" s="833" t="s">
        <v>2261</v>
      </c>
      <c r="S431" s="834"/>
      <c r="T431" s="850"/>
      <c r="U431" s="850"/>
      <c r="V431" s="850"/>
      <c r="W431" s="850"/>
      <c r="X431" s="850"/>
      <c r="Y431" s="850"/>
      <c r="Z431" s="850"/>
      <c r="AA431" s="850"/>
      <c r="AB431" s="850"/>
      <c r="AC431" s="850"/>
      <c r="AD431" s="850"/>
      <c r="AE431" s="850"/>
      <c r="AF431" s="835"/>
    </row>
    <row r="432" spans="1:32" ht="21">
      <c r="A432" s="827">
        <v>409</v>
      </c>
      <c r="B432" s="828" t="s">
        <v>100</v>
      </c>
      <c r="C432" s="828" t="s">
        <v>4372</v>
      </c>
      <c r="D432" s="829" t="s">
        <v>4373</v>
      </c>
      <c r="E432" s="830" t="s">
        <v>4794</v>
      </c>
      <c r="F432" s="830"/>
      <c r="G432" s="831">
        <v>100</v>
      </c>
      <c r="H432" s="831">
        <v>100</v>
      </c>
      <c r="I432" s="830" t="s">
        <v>4794</v>
      </c>
      <c r="J432" s="831">
        <v>100</v>
      </c>
      <c r="K432" s="830" t="s">
        <v>4794</v>
      </c>
      <c r="L432" s="830" t="s">
        <v>4794</v>
      </c>
      <c r="M432" s="831">
        <v>100</v>
      </c>
      <c r="N432" s="831">
        <v>100</v>
      </c>
      <c r="O432" s="830"/>
      <c r="P432" s="830"/>
      <c r="Q432" s="832">
        <f t="shared" si="6"/>
        <v>500</v>
      </c>
      <c r="R432" s="833" t="s">
        <v>236</v>
      </c>
      <c r="S432" s="834"/>
      <c r="T432" s="850"/>
      <c r="U432" s="850"/>
      <c r="V432" s="850"/>
      <c r="W432" s="850"/>
      <c r="X432" s="850"/>
      <c r="Y432" s="850"/>
      <c r="Z432" s="850"/>
      <c r="AA432" s="850"/>
      <c r="AB432" s="850"/>
      <c r="AC432" s="850"/>
      <c r="AD432" s="850"/>
      <c r="AE432" s="850"/>
      <c r="AF432" s="835"/>
    </row>
    <row r="433" spans="1:32" ht="21">
      <c r="A433" s="827">
        <v>410</v>
      </c>
      <c r="B433" s="828" t="s">
        <v>100</v>
      </c>
      <c r="C433" s="828" t="s">
        <v>4191</v>
      </c>
      <c r="D433" s="829" t="s">
        <v>4192</v>
      </c>
      <c r="E433" s="830" t="s">
        <v>4794</v>
      </c>
      <c r="F433" s="830" t="s">
        <v>4794</v>
      </c>
      <c r="G433" s="831">
        <v>100</v>
      </c>
      <c r="H433" s="831">
        <v>100</v>
      </c>
      <c r="I433" s="831">
        <v>100</v>
      </c>
      <c r="J433" s="831">
        <v>100</v>
      </c>
      <c r="K433" s="831">
        <v>100</v>
      </c>
      <c r="L433" s="831">
        <v>100</v>
      </c>
      <c r="M433" s="830"/>
      <c r="N433" s="830"/>
      <c r="O433" s="830"/>
      <c r="P433" s="830"/>
      <c r="Q433" s="832">
        <f t="shared" si="6"/>
        <v>600</v>
      </c>
      <c r="R433" s="833" t="s">
        <v>2261</v>
      </c>
      <c r="S433" s="834"/>
      <c r="T433" s="850"/>
      <c r="U433" s="850"/>
      <c r="V433" s="850"/>
      <c r="W433" s="850"/>
      <c r="X433" s="850"/>
      <c r="Y433" s="850"/>
      <c r="Z433" s="850"/>
      <c r="AA433" s="850"/>
      <c r="AB433" s="850"/>
      <c r="AC433" s="850"/>
      <c r="AD433" s="850"/>
      <c r="AE433" s="850"/>
      <c r="AF433" s="835"/>
    </row>
    <row r="434" spans="1:32" ht="21">
      <c r="A434" s="827">
        <v>411</v>
      </c>
      <c r="B434" s="828" t="s">
        <v>100</v>
      </c>
      <c r="C434" s="828" t="s">
        <v>4193</v>
      </c>
      <c r="D434" s="829" t="s">
        <v>4194</v>
      </c>
      <c r="E434" s="830" t="s">
        <v>4794</v>
      </c>
      <c r="F434" s="830"/>
      <c r="G434" s="831">
        <v>100</v>
      </c>
      <c r="H434" s="830" t="s">
        <v>4794</v>
      </c>
      <c r="I434" s="830" t="s">
        <v>4794</v>
      </c>
      <c r="J434" s="831">
        <v>100</v>
      </c>
      <c r="K434" s="831">
        <v>200</v>
      </c>
      <c r="L434" s="831">
        <v>100</v>
      </c>
      <c r="M434" s="830"/>
      <c r="N434" s="831">
        <v>100</v>
      </c>
      <c r="O434" s="830"/>
      <c r="P434" s="830"/>
      <c r="Q434" s="832">
        <f t="shared" si="6"/>
        <v>600</v>
      </c>
      <c r="R434" s="833" t="s">
        <v>2261</v>
      </c>
      <c r="S434" s="834"/>
      <c r="T434" s="835"/>
      <c r="U434" s="835"/>
      <c r="V434" s="835"/>
      <c r="W434" s="835"/>
      <c r="X434" s="835"/>
      <c r="Y434" s="835"/>
      <c r="Z434" s="835"/>
      <c r="AA434" s="835"/>
      <c r="AB434" s="835"/>
      <c r="AC434" s="835"/>
      <c r="AD434" s="835"/>
      <c r="AE434" s="835"/>
      <c r="AF434" s="835"/>
    </row>
    <row r="435" spans="1:32" ht="21">
      <c r="A435" s="827">
        <v>412</v>
      </c>
      <c r="B435" s="828" t="s">
        <v>100</v>
      </c>
      <c r="C435" s="828" t="s">
        <v>4195</v>
      </c>
      <c r="D435" s="829" t="s">
        <v>4196</v>
      </c>
      <c r="E435" s="831">
        <v>100</v>
      </c>
      <c r="F435" s="830" t="s">
        <v>4794</v>
      </c>
      <c r="G435" s="831">
        <v>100</v>
      </c>
      <c r="H435" s="830" t="s">
        <v>4794</v>
      </c>
      <c r="I435" s="830" t="s">
        <v>4794</v>
      </c>
      <c r="J435" s="831">
        <v>100</v>
      </c>
      <c r="K435" s="830" t="s">
        <v>4794</v>
      </c>
      <c r="L435" s="831">
        <v>200</v>
      </c>
      <c r="M435" s="830"/>
      <c r="N435" s="831">
        <v>100</v>
      </c>
      <c r="O435" s="830"/>
      <c r="P435" s="830"/>
      <c r="Q435" s="832">
        <f t="shared" si="6"/>
        <v>600</v>
      </c>
      <c r="R435" s="833" t="s">
        <v>236</v>
      </c>
      <c r="S435" s="834"/>
      <c r="T435" s="850"/>
      <c r="U435" s="850"/>
      <c r="V435" s="850"/>
      <c r="W435" s="850"/>
      <c r="X435" s="850"/>
      <c r="Y435" s="850"/>
      <c r="Z435" s="850"/>
      <c r="AA435" s="850"/>
      <c r="AB435" s="850"/>
      <c r="AC435" s="850"/>
      <c r="AD435" s="850"/>
      <c r="AE435" s="850"/>
      <c r="AF435" s="835"/>
    </row>
    <row r="436" spans="1:32" ht="21">
      <c r="A436" s="827">
        <v>413</v>
      </c>
      <c r="B436" s="828" t="s">
        <v>100</v>
      </c>
      <c r="C436" s="828" t="s">
        <v>4197</v>
      </c>
      <c r="D436" s="829" t="s">
        <v>4198</v>
      </c>
      <c r="E436" s="831">
        <v>100</v>
      </c>
      <c r="F436" s="830"/>
      <c r="G436" s="831">
        <v>100</v>
      </c>
      <c r="H436" s="830" t="s">
        <v>4794</v>
      </c>
      <c r="I436" s="831">
        <v>100</v>
      </c>
      <c r="J436" s="831">
        <v>200</v>
      </c>
      <c r="K436" s="830" t="s">
        <v>4794</v>
      </c>
      <c r="L436" s="830" t="s">
        <v>4794</v>
      </c>
      <c r="M436" s="830"/>
      <c r="N436" s="831">
        <v>100</v>
      </c>
      <c r="O436" s="830"/>
      <c r="P436" s="830"/>
      <c r="Q436" s="832">
        <f t="shared" si="6"/>
        <v>600</v>
      </c>
      <c r="R436" s="833" t="s">
        <v>236</v>
      </c>
      <c r="S436" s="834"/>
      <c r="T436" s="835"/>
      <c r="U436" s="835"/>
      <c r="V436" s="835"/>
      <c r="W436" s="835"/>
      <c r="X436" s="835"/>
      <c r="Y436" s="835"/>
      <c r="Z436" s="835"/>
      <c r="AA436" s="835"/>
      <c r="AB436" s="835"/>
      <c r="AC436" s="835"/>
      <c r="AD436" s="835"/>
      <c r="AE436" s="835"/>
      <c r="AF436" s="835"/>
    </row>
    <row r="437" spans="1:32" ht="21">
      <c r="A437" s="827">
        <v>414</v>
      </c>
      <c r="B437" s="828" t="s">
        <v>100</v>
      </c>
      <c r="C437" s="828" t="s">
        <v>4199</v>
      </c>
      <c r="D437" s="829" t="s">
        <v>4200</v>
      </c>
      <c r="E437" s="831">
        <v>100</v>
      </c>
      <c r="F437" s="830"/>
      <c r="G437" s="831">
        <v>100</v>
      </c>
      <c r="H437" s="830" t="s">
        <v>4794</v>
      </c>
      <c r="I437" s="831">
        <v>100</v>
      </c>
      <c r="J437" s="831">
        <v>100</v>
      </c>
      <c r="K437" s="830" t="s">
        <v>4794</v>
      </c>
      <c r="L437" s="830" t="s">
        <v>4794</v>
      </c>
      <c r="M437" s="830"/>
      <c r="N437" s="831">
        <v>100</v>
      </c>
      <c r="O437" s="830"/>
      <c r="P437" s="830"/>
      <c r="Q437" s="832">
        <f t="shared" si="6"/>
        <v>500</v>
      </c>
      <c r="R437" s="833" t="s">
        <v>236</v>
      </c>
      <c r="S437" s="834"/>
      <c r="T437" s="835"/>
      <c r="U437" s="835"/>
      <c r="V437" s="835"/>
      <c r="W437" s="835"/>
      <c r="X437" s="835"/>
      <c r="Y437" s="835"/>
      <c r="Z437" s="835"/>
      <c r="AA437" s="835"/>
      <c r="AB437" s="835"/>
      <c r="AC437" s="835"/>
      <c r="AD437" s="835"/>
      <c r="AE437" s="835"/>
      <c r="AF437" s="835"/>
    </row>
    <row r="438" spans="1:32" ht="21">
      <c r="A438" s="827">
        <v>415</v>
      </c>
      <c r="B438" s="828" t="s">
        <v>100</v>
      </c>
      <c r="C438" s="828" t="s">
        <v>4201</v>
      </c>
      <c r="D438" s="829" t="s">
        <v>4202</v>
      </c>
      <c r="E438" s="830" t="s">
        <v>4794</v>
      </c>
      <c r="F438" s="830" t="s">
        <v>4794</v>
      </c>
      <c r="G438" s="831">
        <v>100</v>
      </c>
      <c r="H438" s="831">
        <v>100</v>
      </c>
      <c r="I438" s="831">
        <v>100</v>
      </c>
      <c r="J438" s="831">
        <v>100</v>
      </c>
      <c r="K438" s="830" t="s">
        <v>4794</v>
      </c>
      <c r="L438" s="831">
        <v>100</v>
      </c>
      <c r="M438" s="830"/>
      <c r="N438" s="831">
        <v>100</v>
      </c>
      <c r="O438" s="830"/>
      <c r="P438" s="830"/>
      <c r="Q438" s="832">
        <f t="shared" si="6"/>
        <v>600</v>
      </c>
      <c r="R438" s="833" t="s">
        <v>2261</v>
      </c>
      <c r="S438" s="834"/>
      <c r="T438" s="835"/>
      <c r="U438" s="835"/>
      <c r="V438" s="835"/>
      <c r="W438" s="835"/>
      <c r="X438" s="835"/>
      <c r="Y438" s="835"/>
      <c r="Z438" s="835"/>
      <c r="AA438" s="835"/>
      <c r="AB438" s="835"/>
      <c r="AC438" s="835"/>
      <c r="AD438" s="835"/>
      <c r="AE438" s="835"/>
      <c r="AF438" s="835"/>
    </row>
    <row r="439" spans="1:32" ht="21">
      <c r="A439" s="827">
        <v>416</v>
      </c>
      <c r="B439" s="828" t="s">
        <v>100</v>
      </c>
      <c r="C439" s="828" t="s">
        <v>4203</v>
      </c>
      <c r="D439" s="829" t="s">
        <v>4204</v>
      </c>
      <c r="E439" s="830" t="s">
        <v>4794</v>
      </c>
      <c r="F439" s="831">
        <v>100</v>
      </c>
      <c r="G439" s="831">
        <v>100</v>
      </c>
      <c r="H439" s="830" t="s">
        <v>4794</v>
      </c>
      <c r="I439" s="831">
        <v>100</v>
      </c>
      <c r="J439" s="831">
        <v>100</v>
      </c>
      <c r="K439" s="830" t="s">
        <v>4794</v>
      </c>
      <c r="L439" s="831">
        <v>100</v>
      </c>
      <c r="M439" s="830"/>
      <c r="N439" s="831">
        <v>100</v>
      </c>
      <c r="O439" s="830"/>
      <c r="P439" s="830"/>
      <c r="Q439" s="832">
        <f t="shared" si="6"/>
        <v>600</v>
      </c>
      <c r="R439" s="833" t="s">
        <v>2261</v>
      </c>
      <c r="S439" s="834"/>
      <c r="T439" s="835"/>
      <c r="U439" s="835"/>
      <c r="V439" s="835"/>
      <c r="W439" s="835"/>
      <c r="X439" s="835"/>
      <c r="Y439" s="835"/>
      <c r="Z439" s="835"/>
      <c r="AA439" s="835"/>
      <c r="AB439" s="835"/>
      <c r="AC439" s="835"/>
      <c r="AD439" s="835"/>
      <c r="AE439" s="835"/>
      <c r="AF439" s="835"/>
    </row>
    <row r="440" spans="1:32" ht="21">
      <c r="A440" s="827">
        <v>417</v>
      </c>
      <c r="B440" s="828" t="s">
        <v>100</v>
      </c>
      <c r="C440" s="828" t="s">
        <v>4205</v>
      </c>
      <c r="D440" s="829" t="s">
        <v>4206</v>
      </c>
      <c r="E440" s="830" t="s">
        <v>4794</v>
      </c>
      <c r="F440" s="830" t="s">
        <v>4794</v>
      </c>
      <c r="G440" s="831">
        <v>100</v>
      </c>
      <c r="H440" s="830" t="s">
        <v>4794</v>
      </c>
      <c r="I440" s="831">
        <v>100</v>
      </c>
      <c r="J440" s="830" t="s">
        <v>4794</v>
      </c>
      <c r="K440" s="831">
        <v>200</v>
      </c>
      <c r="L440" s="830" t="s">
        <v>4794</v>
      </c>
      <c r="M440" s="830"/>
      <c r="N440" s="831">
        <v>100</v>
      </c>
      <c r="O440" s="830"/>
      <c r="P440" s="830"/>
      <c r="Q440" s="832">
        <f t="shared" si="6"/>
        <v>500</v>
      </c>
      <c r="R440" s="833" t="s">
        <v>236</v>
      </c>
      <c r="S440" s="834"/>
      <c r="T440" s="835"/>
      <c r="U440" s="835"/>
      <c r="V440" s="835"/>
      <c r="W440" s="835"/>
      <c r="X440" s="835"/>
      <c r="Y440" s="835"/>
      <c r="Z440" s="835"/>
      <c r="AA440" s="835"/>
      <c r="AB440" s="835"/>
      <c r="AC440" s="835"/>
      <c r="AD440" s="835"/>
      <c r="AE440" s="835"/>
      <c r="AF440" s="835"/>
    </row>
    <row r="441" spans="1:32" ht="21">
      <c r="A441" s="827">
        <v>418</v>
      </c>
      <c r="B441" s="828" t="s">
        <v>100</v>
      </c>
      <c r="C441" s="828" t="s">
        <v>4207</v>
      </c>
      <c r="D441" s="829" t="s">
        <v>4208</v>
      </c>
      <c r="E441" s="830" t="s">
        <v>4794</v>
      </c>
      <c r="F441" s="830"/>
      <c r="G441" s="831">
        <v>100</v>
      </c>
      <c r="H441" s="830" t="s">
        <v>4794</v>
      </c>
      <c r="I441" s="831">
        <v>200</v>
      </c>
      <c r="J441" s="830" t="s">
        <v>4794</v>
      </c>
      <c r="K441" s="831">
        <v>100</v>
      </c>
      <c r="L441" s="830" t="s">
        <v>4794</v>
      </c>
      <c r="M441" s="831">
        <v>100</v>
      </c>
      <c r="N441" s="831">
        <v>100</v>
      </c>
      <c r="O441" s="830"/>
      <c r="P441" s="830"/>
      <c r="Q441" s="832">
        <f t="shared" si="6"/>
        <v>600</v>
      </c>
      <c r="R441" s="833" t="s">
        <v>2261</v>
      </c>
      <c r="S441" s="834"/>
      <c r="T441" s="850"/>
      <c r="U441" s="850"/>
      <c r="V441" s="850"/>
      <c r="W441" s="850"/>
      <c r="X441" s="850"/>
      <c r="Y441" s="850"/>
      <c r="Z441" s="850"/>
      <c r="AA441" s="850"/>
      <c r="AB441" s="850"/>
      <c r="AC441" s="850"/>
      <c r="AD441" s="850"/>
      <c r="AE441" s="850"/>
      <c r="AF441" s="835"/>
    </row>
    <row r="442" spans="1:32" ht="21">
      <c r="A442" s="827">
        <v>419</v>
      </c>
      <c r="B442" s="828" t="s">
        <v>100</v>
      </c>
      <c r="C442" s="828" t="s">
        <v>4209</v>
      </c>
      <c r="D442" s="829" t="s">
        <v>4210</v>
      </c>
      <c r="E442" s="831">
        <v>100</v>
      </c>
      <c r="F442" s="830" t="s">
        <v>4794</v>
      </c>
      <c r="G442" s="831">
        <v>100</v>
      </c>
      <c r="H442" s="830" t="s">
        <v>4794</v>
      </c>
      <c r="I442" s="830"/>
      <c r="J442" s="830" t="s">
        <v>4794</v>
      </c>
      <c r="K442" s="831">
        <v>100</v>
      </c>
      <c r="L442" s="830" t="s">
        <v>4794</v>
      </c>
      <c r="M442" s="830"/>
      <c r="N442" s="831">
        <v>100</v>
      </c>
      <c r="O442" s="830"/>
      <c r="P442" s="830"/>
      <c r="Q442" s="832">
        <f t="shared" si="6"/>
        <v>400</v>
      </c>
      <c r="R442" s="833" t="s">
        <v>236</v>
      </c>
      <c r="S442" s="834"/>
      <c r="T442" s="850"/>
      <c r="U442" s="850"/>
      <c r="V442" s="850"/>
      <c r="W442" s="850"/>
      <c r="X442" s="850"/>
      <c r="Y442" s="850"/>
      <c r="Z442" s="850"/>
      <c r="AA442" s="850"/>
      <c r="AB442" s="850"/>
      <c r="AC442" s="850"/>
      <c r="AD442" s="850"/>
      <c r="AE442" s="850"/>
      <c r="AF442" s="835"/>
    </row>
    <row r="443" spans="1:32" ht="21">
      <c r="A443" s="827">
        <v>420</v>
      </c>
      <c r="B443" s="828" t="s">
        <v>100</v>
      </c>
      <c r="C443" s="828" t="s">
        <v>4211</v>
      </c>
      <c r="D443" s="829" t="s">
        <v>4212</v>
      </c>
      <c r="E443" s="831">
        <v>100</v>
      </c>
      <c r="F443" s="830"/>
      <c r="G443" s="831">
        <v>100</v>
      </c>
      <c r="H443" s="830" t="s">
        <v>4794</v>
      </c>
      <c r="I443" s="830" t="s">
        <v>4794</v>
      </c>
      <c r="J443" s="831">
        <v>100</v>
      </c>
      <c r="K443" s="830" t="s">
        <v>4794</v>
      </c>
      <c r="L443" s="831">
        <v>100</v>
      </c>
      <c r="M443" s="830"/>
      <c r="N443" s="831">
        <v>100</v>
      </c>
      <c r="O443" s="830"/>
      <c r="P443" s="830"/>
      <c r="Q443" s="832">
        <f t="shared" si="6"/>
        <v>500</v>
      </c>
      <c r="R443" s="833" t="s">
        <v>236</v>
      </c>
      <c r="S443" s="834"/>
      <c r="T443" s="850"/>
      <c r="U443" s="850"/>
      <c r="V443" s="850"/>
      <c r="W443" s="850"/>
      <c r="X443" s="850"/>
      <c r="Y443" s="850"/>
      <c r="Z443" s="850"/>
      <c r="AA443" s="850"/>
      <c r="AB443" s="850"/>
      <c r="AC443" s="850"/>
      <c r="AD443" s="850"/>
      <c r="AE443" s="850"/>
      <c r="AF443" s="835"/>
    </row>
    <row r="444" spans="1:32" ht="21">
      <c r="A444" s="827">
        <v>421</v>
      </c>
      <c r="B444" s="828" t="s">
        <v>100</v>
      </c>
      <c r="C444" s="828" t="s">
        <v>4213</v>
      </c>
      <c r="D444" s="829" t="s">
        <v>4214</v>
      </c>
      <c r="E444" s="831">
        <v>100</v>
      </c>
      <c r="F444" s="830" t="s">
        <v>4794</v>
      </c>
      <c r="G444" s="831">
        <v>100</v>
      </c>
      <c r="H444" s="830" t="s">
        <v>4794</v>
      </c>
      <c r="I444" s="830"/>
      <c r="J444" s="831">
        <v>100</v>
      </c>
      <c r="K444" s="831">
        <v>100</v>
      </c>
      <c r="L444" s="830" t="s">
        <v>4794</v>
      </c>
      <c r="M444" s="830"/>
      <c r="N444" s="831">
        <v>100</v>
      </c>
      <c r="O444" s="830"/>
      <c r="P444" s="830"/>
      <c r="Q444" s="832">
        <f t="shared" si="6"/>
        <v>500</v>
      </c>
      <c r="R444" s="833" t="s">
        <v>236</v>
      </c>
      <c r="S444" s="834"/>
      <c r="T444" s="850"/>
      <c r="U444" s="850"/>
      <c r="V444" s="850"/>
      <c r="W444" s="850"/>
      <c r="X444" s="850"/>
      <c r="Y444" s="850"/>
      <c r="Z444" s="850"/>
      <c r="AA444" s="850"/>
      <c r="AB444" s="850"/>
      <c r="AC444" s="864"/>
      <c r="AD444" s="864"/>
      <c r="AE444" s="864"/>
      <c r="AF444" s="835"/>
    </row>
    <row r="445" spans="1:32" ht="21">
      <c r="A445" s="827">
        <v>422</v>
      </c>
      <c r="B445" s="828" t="s">
        <v>100</v>
      </c>
      <c r="C445" s="828" t="s">
        <v>4215</v>
      </c>
      <c r="D445" s="829" t="s">
        <v>4216</v>
      </c>
      <c r="E445" s="830" t="s">
        <v>4794</v>
      </c>
      <c r="F445" s="831">
        <v>100</v>
      </c>
      <c r="G445" s="831">
        <v>100</v>
      </c>
      <c r="H445" s="831">
        <v>100</v>
      </c>
      <c r="I445" s="831">
        <v>200</v>
      </c>
      <c r="J445" s="831">
        <v>100</v>
      </c>
      <c r="K445" s="831">
        <v>100</v>
      </c>
      <c r="L445" s="830" t="s">
        <v>4794</v>
      </c>
      <c r="M445" s="830" t="s">
        <v>4794</v>
      </c>
      <c r="N445" s="830"/>
      <c r="O445" s="830" t="s">
        <v>4794</v>
      </c>
      <c r="P445" s="830" t="s">
        <v>4794</v>
      </c>
      <c r="Q445" s="832">
        <f t="shared" si="6"/>
        <v>700</v>
      </c>
      <c r="R445" s="833" t="s">
        <v>2261</v>
      </c>
      <c r="S445" s="834"/>
      <c r="T445" s="850"/>
      <c r="U445" s="850"/>
      <c r="V445" s="850"/>
      <c r="W445" s="850"/>
      <c r="X445" s="850"/>
      <c r="Y445" s="850"/>
      <c r="Z445" s="850"/>
      <c r="AA445" s="850"/>
      <c r="AB445" s="850"/>
      <c r="AC445" s="850"/>
      <c r="AD445" s="850"/>
      <c r="AE445" s="850"/>
      <c r="AF445" s="835"/>
    </row>
    <row r="446" spans="1:32" ht="31.5">
      <c r="A446" s="827">
        <v>423</v>
      </c>
      <c r="B446" s="828" t="s">
        <v>100</v>
      </c>
      <c r="C446" s="828" t="s">
        <v>4217</v>
      </c>
      <c r="D446" s="829" t="s">
        <v>4218</v>
      </c>
      <c r="E446" s="830" t="s">
        <v>4794</v>
      </c>
      <c r="F446" s="830" t="s">
        <v>4794</v>
      </c>
      <c r="G446" s="830" t="s">
        <v>4794</v>
      </c>
      <c r="H446" s="831">
        <v>100</v>
      </c>
      <c r="I446" s="830" t="s">
        <v>4794</v>
      </c>
      <c r="J446" s="831">
        <v>100</v>
      </c>
      <c r="K446" s="831">
        <v>100</v>
      </c>
      <c r="L446" s="830" t="s">
        <v>4794</v>
      </c>
      <c r="M446" s="830" t="s">
        <v>4794</v>
      </c>
      <c r="N446" s="831">
        <v>100</v>
      </c>
      <c r="O446" s="830" t="s">
        <v>4794</v>
      </c>
      <c r="P446" s="830" t="s">
        <v>4794</v>
      </c>
      <c r="Q446" s="832">
        <f t="shared" si="6"/>
        <v>400</v>
      </c>
      <c r="R446" s="833" t="s">
        <v>236</v>
      </c>
      <c r="S446" s="836"/>
      <c r="T446" s="850"/>
      <c r="U446" s="852"/>
      <c r="V446" s="852"/>
      <c r="W446" s="852"/>
      <c r="X446" s="852"/>
      <c r="Y446" s="852"/>
      <c r="Z446" s="852"/>
      <c r="AA446" s="852"/>
      <c r="AB446" s="852"/>
      <c r="AC446" s="852"/>
      <c r="AD446" s="852"/>
      <c r="AE446" s="852"/>
      <c r="AF446" s="837"/>
    </row>
    <row r="447" spans="1:32" ht="31.5">
      <c r="A447" s="827">
        <v>424</v>
      </c>
      <c r="B447" s="828" t="s">
        <v>100</v>
      </c>
      <c r="C447" s="828" t="s">
        <v>4219</v>
      </c>
      <c r="D447" s="829" t="s">
        <v>4220</v>
      </c>
      <c r="E447" s="830" t="s">
        <v>4794</v>
      </c>
      <c r="F447" s="830"/>
      <c r="G447" s="830" t="s">
        <v>4794</v>
      </c>
      <c r="H447" s="830" t="s">
        <v>4794</v>
      </c>
      <c r="I447" s="830" t="s">
        <v>4794</v>
      </c>
      <c r="J447" s="831">
        <v>100</v>
      </c>
      <c r="K447" s="830" t="s">
        <v>4794</v>
      </c>
      <c r="L447" s="831">
        <v>200</v>
      </c>
      <c r="M447" s="830" t="s">
        <v>4794</v>
      </c>
      <c r="N447" s="831">
        <v>100</v>
      </c>
      <c r="O447" s="830" t="s">
        <v>4794</v>
      </c>
      <c r="P447" s="830" t="s">
        <v>4794</v>
      </c>
      <c r="Q447" s="832">
        <f t="shared" si="6"/>
        <v>400</v>
      </c>
      <c r="R447" s="833" t="s">
        <v>236</v>
      </c>
      <c r="S447" s="834"/>
      <c r="T447" s="850"/>
      <c r="U447" s="850"/>
      <c r="V447" s="850"/>
      <c r="W447" s="850"/>
      <c r="X447" s="850"/>
      <c r="Y447" s="850"/>
      <c r="Z447" s="850"/>
      <c r="AA447" s="850"/>
      <c r="AB447" s="850"/>
      <c r="AC447" s="850"/>
      <c r="AD447" s="850"/>
      <c r="AE447" s="850"/>
      <c r="AF447" s="835"/>
    </row>
    <row r="448" spans="1:32" ht="31.5">
      <c r="A448" s="827">
        <v>425</v>
      </c>
      <c r="B448" s="828" t="s">
        <v>100</v>
      </c>
      <c r="C448" s="828" t="s">
        <v>4221</v>
      </c>
      <c r="D448" s="829" t="s">
        <v>4222</v>
      </c>
      <c r="E448" s="830" t="s">
        <v>4794</v>
      </c>
      <c r="F448" s="830"/>
      <c r="G448" s="830" t="s">
        <v>4794</v>
      </c>
      <c r="H448" s="830" t="s">
        <v>4794</v>
      </c>
      <c r="I448" s="830" t="s">
        <v>4794</v>
      </c>
      <c r="J448" s="831">
        <v>100</v>
      </c>
      <c r="K448" s="830" t="s">
        <v>4794</v>
      </c>
      <c r="L448" s="831">
        <v>200</v>
      </c>
      <c r="M448" s="830" t="s">
        <v>4794</v>
      </c>
      <c r="N448" s="831">
        <v>100</v>
      </c>
      <c r="O448" s="830" t="s">
        <v>4794</v>
      </c>
      <c r="P448" s="830" t="s">
        <v>4794</v>
      </c>
      <c r="Q448" s="832">
        <f t="shared" si="6"/>
        <v>400</v>
      </c>
      <c r="R448" s="833" t="s">
        <v>2261</v>
      </c>
      <c r="S448" s="834"/>
      <c r="T448" s="850"/>
      <c r="U448" s="850"/>
      <c r="V448" s="850"/>
      <c r="W448" s="850"/>
      <c r="X448" s="850"/>
      <c r="Y448" s="850"/>
      <c r="Z448" s="850"/>
      <c r="AA448" s="850"/>
      <c r="AB448" s="850"/>
      <c r="AC448" s="850"/>
      <c r="AD448" s="850"/>
      <c r="AE448" s="850"/>
      <c r="AF448" s="835"/>
    </row>
    <row r="449" spans="1:32" ht="31.5">
      <c r="A449" s="827">
        <v>426</v>
      </c>
      <c r="B449" s="828" t="s">
        <v>100</v>
      </c>
      <c r="C449" s="828" t="s">
        <v>4223</v>
      </c>
      <c r="D449" s="829" t="s">
        <v>4224</v>
      </c>
      <c r="E449" s="830" t="s">
        <v>4794</v>
      </c>
      <c r="F449" s="831">
        <v>200</v>
      </c>
      <c r="G449" s="830"/>
      <c r="H449" s="831">
        <v>100</v>
      </c>
      <c r="I449" s="830" t="s">
        <v>4794</v>
      </c>
      <c r="J449" s="830" t="s">
        <v>4794</v>
      </c>
      <c r="K449" s="831">
        <v>100</v>
      </c>
      <c r="L449" s="830" t="s">
        <v>4794</v>
      </c>
      <c r="M449" s="830" t="s">
        <v>4794</v>
      </c>
      <c r="N449" s="831">
        <v>100</v>
      </c>
      <c r="O449" s="830" t="s">
        <v>4794</v>
      </c>
      <c r="P449" s="830" t="s">
        <v>4794</v>
      </c>
      <c r="Q449" s="832">
        <f t="shared" si="6"/>
        <v>500</v>
      </c>
      <c r="R449" s="833" t="s">
        <v>236</v>
      </c>
      <c r="S449" s="834"/>
      <c r="T449" s="850"/>
      <c r="U449" s="850"/>
      <c r="V449" s="850"/>
      <c r="W449" s="850"/>
      <c r="X449" s="850"/>
      <c r="Y449" s="850"/>
      <c r="Z449" s="850"/>
      <c r="AA449" s="850"/>
      <c r="AB449" s="850"/>
      <c r="AC449" s="850"/>
      <c r="AD449" s="850"/>
      <c r="AE449" s="850"/>
      <c r="AF449" s="835"/>
    </row>
    <row r="450" spans="1:32" ht="31.5">
      <c r="A450" s="827">
        <v>427</v>
      </c>
      <c r="B450" s="828" t="s">
        <v>100</v>
      </c>
      <c r="C450" s="828" t="s">
        <v>4225</v>
      </c>
      <c r="D450" s="829" t="s">
        <v>4226</v>
      </c>
      <c r="E450" s="831">
        <v>100</v>
      </c>
      <c r="F450" s="830" t="s">
        <v>4794</v>
      </c>
      <c r="G450" s="830"/>
      <c r="H450" s="830"/>
      <c r="I450" s="831">
        <v>200</v>
      </c>
      <c r="J450" s="830" t="s">
        <v>4794</v>
      </c>
      <c r="K450" s="831">
        <v>100</v>
      </c>
      <c r="L450" s="830" t="s">
        <v>4794</v>
      </c>
      <c r="M450" s="831">
        <v>100</v>
      </c>
      <c r="N450" s="831">
        <v>100</v>
      </c>
      <c r="O450" s="830" t="s">
        <v>4794</v>
      </c>
      <c r="P450" s="830" t="s">
        <v>4794</v>
      </c>
      <c r="Q450" s="832">
        <f t="shared" si="6"/>
        <v>600</v>
      </c>
      <c r="R450" s="833" t="s">
        <v>236</v>
      </c>
      <c r="S450" s="836"/>
      <c r="T450" s="850"/>
      <c r="U450" s="852"/>
      <c r="V450" s="852"/>
      <c r="W450" s="852"/>
      <c r="X450" s="852"/>
      <c r="Y450" s="852"/>
      <c r="Z450" s="852"/>
      <c r="AA450" s="852"/>
      <c r="AB450" s="852"/>
      <c r="AC450" s="852"/>
      <c r="AD450" s="852"/>
      <c r="AE450" s="852"/>
      <c r="AF450" s="837"/>
    </row>
    <row r="451" spans="1:32" ht="21">
      <c r="A451" s="827">
        <v>428</v>
      </c>
      <c r="B451" s="828" t="s">
        <v>100</v>
      </c>
      <c r="C451" s="828" t="s">
        <v>4227</v>
      </c>
      <c r="D451" s="829" t="s">
        <v>4228</v>
      </c>
      <c r="E451" s="830" t="s">
        <v>4794</v>
      </c>
      <c r="F451" s="831">
        <v>200</v>
      </c>
      <c r="G451" s="830"/>
      <c r="H451" s="831">
        <v>100</v>
      </c>
      <c r="I451" s="830" t="s">
        <v>4794</v>
      </c>
      <c r="J451" s="831">
        <v>100</v>
      </c>
      <c r="K451" s="831">
        <v>100</v>
      </c>
      <c r="L451" s="830" t="s">
        <v>4794</v>
      </c>
      <c r="M451" s="830"/>
      <c r="N451" s="831">
        <v>100</v>
      </c>
      <c r="O451" s="830" t="s">
        <v>4794</v>
      </c>
      <c r="P451" s="830" t="s">
        <v>4794</v>
      </c>
      <c r="Q451" s="832">
        <f t="shared" si="6"/>
        <v>600</v>
      </c>
      <c r="R451" s="833" t="s">
        <v>2261</v>
      </c>
      <c r="S451" s="834"/>
      <c r="T451" s="850"/>
      <c r="U451" s="850"/>
      <c r="V451" s="850"/>
      <c r="W451" s="850"/>
      <c r="X451" s="850"/>
      <c r="Y451" s="850"/>
      <c r="Z451" s="850"/>
      <c r="AA451" s="850"/>
      <c r="AB451" s="850"/>
      <c r="AC451" s="850"/>
      <c r="AD451" s="850"/>
      <c r="AE451" s="850"/>
      <c r="AF451" s="835"/>
    </row>
    <row r="452" spans="1:32" ht="31.5">
      <c r="A452" s="827">
        <v>429</v>
      </c>
      <c r="B452" s="828" t="s">
        <v>100</v>
      </c>
      <c r="C452" s="828" t="s">
        <v>4229</v>
      </c>
      <c r="D452" s="829" t="s">
        <v>4230</v>
      </c>
      <c r="E452" s="831">
        <v>1</v>
      </c>
      <c r="F452" s="831">
        <v>1</v>
      </c>
      <c r="G452" s="831">
        <v>1</v>
      </c>
      <c r="H452" s="831">
        <v>1</v>
      </c>
      <c r="I452" s="831">
        <v>1</v>
      </c>
      <c r="J452" s="831">
        <v>1</v>
      </c>
      <c r="K452" s="831">
        <v>1</v>
      </c>
      <c r="L452" s="831">
        <v>1</v>
      </c>
      <c r="M452" s="831">
        <v>1</v>
      </c>
      <c r="N452" s="831">
        <v>1</v>
      </c>
      <c r="O452" s="831">
        <v>1</v>
      </c>
      <c r="P452" s="831">
        <v>1</v>
      </c>
      <c r="Q452" s="832">
        <f t="shared" si="6"/>
        <v>12</v>
      </c>
      <c r="R452" s="833" t="s">
        <v>2257</v>
      </c>
      <c r="S452" s="836"/>
      <c r="T452" s="852"/>
      <c r="U452" s="852"/>
      <c r="V452" s="852"/>
      <c r="W452" s="852"/>
      <c r="X452" s="852"/>
      <c r="Y452" s="852"/>
      <c r="Z452" s="852"/>
      <c r="AA452" s="852"/>
      <c r="AB452" s="852"/>
      <c r="AC452" s="852"/>
      <c r="AD452" s="852"/>
      <c r="AE452" s="852"/>
      <c r="AF452" s="837"/>
    </row>
    <row r="453" spans="1:32" ht="21">
      <c r="A453" s="827">
        <v>430</v>
      </c>
      <c r="B453" s="828" t="s">
        <v>100</v>
      </c>
      <c r="C453" s="828" t="s">
        <v>4231</v>
      </c>
      <c r="D453" s="829" t="s">
        <v>4232</v>
      </c>
      <c r="E453" s="830"/>
      <c r="F453" s="830"/>
      <c r="G453" s="830"/>
      <c r="H453" s="830"/>
      <c r="I453" s="831">
        <v>2</v>
      </c>
      <c r="J453" s="831">
        <v>2</v>
      </c>
      <c r="K453" s="831">
        <v>2</v>
      </c>
      <c r="L453" s="831">
        <v>2</v>
      </c>
      <c r="M453" s="831">
        <v>2</v>
      </c>
      <c r="N453" s="830"/>
      <c r="O453" s="830"/>
      <c r="P453" s="830"/>
      <c r="Q453" s="832">
        <f t="shared" si="6"/>
        <v>10</v>
      </c>
      <c r="R453" s="833" t="s">
        <v>3714</v>
      </c>
      <c r="S453" s="834"/>
      <c r="T453" s="850"/>
      <c r="U453" s="850"/>
      <c r="V453" s="850"/>
      <c r="W453" s="850"/>
      <c r="X453" s="850"/>
      <c r="Y453" s="850"/>
      <c r="Z453" s="850"/>
      <c r="AA453" s="850"/>
      <c r="AB453" s="850"/>
      <c r="AC453" s="850"/>
      <c r="AD453" s="850"/>
      <c r="AE453" s="850"/>
      <c r="AF453" s="835"/>
    </row>
    <row r="454" spans="1:32" ht="21">
      <c r="A454" s="827">
        <v>431</v>
      </c>
      <c r="B454" s="828" t="s">
        <v>100</v>
      </c>
      <c r="C454" s="828" t="s">
        <v>4233</v>
      </c>
      <c r="D454" s="829" t="s">
        <v>4234</v>
      </c>
      <c r="E454" s="830"/>
      <c r="F454" s="830"/>
      <c r="G454" s="830"/>
      <c r="H454" s="830"/>
      <c r="I454" s="831">
        <v>2</v>
      </c>
      <c r="J454" s="831">
        <v>2</v>
      </c>
      <c r="K454" s="831">
        <v>2</v>
      </c>
      <c r="L454" s="831">
        <v>2</v>
      </c>
      <c r="M454" s="831">
        <v>2</v>
      </c>
      <c r="N454" s="830"/>
      <c r="O454" s="830"/>
      <c r="P454" s="830"/>
      <c r="Q454" s="832">
        <f t="shared" si="6"/>
        <v>10</v>
      </c>
      <c r="R454" s="833" t="s">
        <v>3714</v>
      </c>
      <c r="S454" s="834"/>
      <c r="T454" s="850"/>
      <c r="U454" s="850"/>
      <c r="V454" s="850"/>
      <c r="W454" s="850"/>
      <c r="X454" s="850"/>
      <c r="Y454" s="850"/>
      <c r="Z454" s="850"/>
      <c r="AA454" s="850"/>
      <c r="AB454" s="850"/>
      <c r="AC454" s="850"/>
      <c r="AD454" s="850"/>
      <c r="AE454" s="850"/>
      <c r="AF454" s="835"/>
    </row>
    <row r="455" spans="1:32" ht="21">
      <c r="A455" s="827">
        <v>432</v>
      </c>
      <c r="B455" s="828" t="s">
        <v>100</v>
      </c>
      <c r="C455" s="828" t="s">
        <v>4235</v>
      </c>
      <c r="D455" s="829" t="s">
        <v>4236</v>
      </c>
      <c r="E455" s="830"/>
      <c r="F455" s="830"/>
      <c r="G455" s="830"/>
      <c r="H455" s="830"/>
      <c r="I455" s="831">
        <v>2</v>
      </c>
      <c r="J455" s="831">
        <v>2</v>
      </c>
      <c r="K455" s="831">
        <v>2</v>
      </c>
      <c r="L455" s="831">
        <v>2</v>
      </c>
      <c r="M455" s="831">
        <v>2</v>
      </c>
      <c r="N455" s="830"/>
      <c r="O455" s="830"/>
      <c r="P455" s="830"/>
      <c r="Q455" s="832">
        <f t="shared" si="6"/>
        <v>10</v>
      </c>
      <c r="R455" s="833" t="s">
        <v>3714</v>
      </c>
      <c r="S455" s="834"/>
      <c r="T455" s="835"/>
      <c r="U455" s="835"/>
      <c r="V455" s="835"/>
      <c r="W455" s="835"/>
      <c r="X455" s="835"/>
      <c r="Y455" s="835"/>
      <c r="Z455" s="835"/>
      <c r="AA455" s="835"/>
      <c r="AB455" s="835"/>
      <c r="AC455" s="835"/>
      <c r="AD455" s="835"/>
      <c r="AE455" s="835"/>
      <c r="AF455" s="835"/>
    </row>
    <row r="456" spans="1:32" ht="21">
      <c r="A456" s="827">
        <v>433</v>
      </c>
      <c r="B456" s="828" t="s">
        <v>100</v>
      </c>
      <c r="C456" s="828" t="s">
        <v>4237</v>
      </c>
      <c r="D456" s="829" t="s">
        <v>4238</v>
      </c>
      <c r="E456" s="830"/>
      <c r="F456" s="830"/>
      <c r="G456" s="830"/>
      <c r="H456" s="830"/>
      <c r="I456" s="831">
        <v>2</v>
      </c>
      <c r="J456" s="831">
        <v>2</v>
      </c>
      <c r="K456" s="831">
        <v>2</v>
      </c>
      <c r="L456" s="831">
        <v>2</v>
      </c>
      <c r="M456" s="831">
        <v>2</v>
      </c>
      <c r="N456" s="830"/>
      <c r="O456" s="830"/>
      <c r="P456" s="830"/>
      <c r="Q456" s="832">
        <f t="shared" si="6"/>
        <v>10</v>
      </c>
      <c r="R456" s="833" t="s">
        <v>3714</v>
      </c>
      <c r="S456" s="834"/>
      <c r="T456" s="835"/>
      <c r="U456" s="835"/>
      <c r="V456" s="835"/>
      <c r="W456" s="835"/>
      <c r="X456" s="835"/>
      <c r="Y456" s="835"/>
      <c r="Z456" s="835"/>
      <c r="AA456" s="835"/>
      <c r="AB456" s="835"/>
      <c r="AC456" s="835"/>
      <c r="AD456" s="835"/>
      <c r="AE456" s="835"/>
      <c r="AF456" s="835"/>
    </row>
    <row r="457" spans="1:32" ht="21">
      <c r="A457" s="827">
        <v>434</v>
      </c>
      <c r="B457" s="828" t="s">
        <v>100</v>
      </c>
      <c r="C457" s="828" t="s">
        <v>4239</v>
      </c>
      <c r="D457" s="829" t="s">
        <v>4240</v>
      </c>
      <c r="E457" s="830"/>
      <c r="F457" s="830"/>
      <c r="G457" s="830"/>
      <c r="H457" s="830"/>
      <c r="I457" s="831">
        <v>2</v>
      </c>
      <c r="J457" s="831">
        <v>2</v>
      </c>
      <c r="K457" s="831">
        <v>2</v>
      </c>
      <c r="L457" s="831">
        <v>2</v>
      </c>
      <c r="M457" s="831">
        <v>2</v>
      </c>
      <c r="N457" s="830"/>
      <c r="O457" s="830"/>
      <c r="P457" s="830"/>
      <c r="Q457" s="832">
        <f t="shared" si="6"/>
        <v>10</v>
      </c>
      <c r="R457" s="833" t="s">
        <v>3714</v>
      </c>
      <c r="S457" s="834"/>
      <c r="T457" s="865"/>
      <c r="U457" s="865"/>
      <c r="V457" s="865"/>
      <c r="W457" s="865"/>
      <c r="X457" s="865"/>
      <c r="Y457" s="865"/>
      <c r="Z457" s="865"/>
      <c r="AA457" s="865"/>
      <c r="AB457" s="865"/>
      <c r="AC457" s="865"/>
      <c r="AD457" s="865"/>
      <c r="AE457" s="865"/>
      <c r="AF457" s="835"/>
    </row>
    <row r="458" spans="1:32" ht="42">
      <c r="A458" s="827">
        <v>435</v>
      </c>
      <c r="B458" s="828" t="s">
        <v>100</v>
      </c>
      <c r="C458" s="828" t="s">
        <v>4241</v>
      </c>
      <c r="D458" s="829" t="s">
        <v>4242</v>
      </c>
      <c r="E458" s="831">
        <v>100</v>
      </c>
      <c r="F458" s="831">
        <v>100</v>
      </c>
      <c r="G458" s="831">
        <v>100</v>
      </c>
      <c r="H458" s="831">
        <v>100</v>
      </c>
      <c r="I458" s="831">
        <v>100</v>
      </c>
      <c r="J458" s="831">
        <v>100</v>
      </c>
      <c r="K458" s="831">
        <v>100</v>
      </c>
      <c r="L458" s="831">
        <v>100</v>
      </c>
      <c r="M458" s="831">
        <v>100</v>
      </c>
      <c r="N458" s="831">
        <v>100</v>
      </c>
      <c r="O458" s="831">
        <v>100</v>
      </c>
      <c r="P458" s="831">
        <v>100</v>
      </c>
      <c r="Q458" s="832">
        <f t="shared" si="6"/>
        <v>1200</v>
      </c>
      <c r="R458" s="833" t="s">
        <v>4025</v>
      </c>
      <c r="S458" s="834"/>
      <c r="T458" s="850"/>
      <c r="U458" s="850"/>
      <c r="V458" s="850"/>
      <c r="W458" s="850"/>
      <c r="X458" s="850"/>
      <c r="Y458" s="850"/>
      <c r="Z458" s="850"/>
      <c r="AA458" s="850"/>
      <c r="AB458" s="850"/>
      <c r="AC458" s="850"/>
      <c r="AD458" s="850"/>
      <c r="AE458" s="850"/>
      <c r="AF458" s="835"/>
    </row>
    <row r="459" spans="1:32" ht="21">
      <c r="A459" s="827">
        <v>436</v>
      </c>
      <c r="B459" s="828" t="s">
        <v>100</v>
      </c>
      <c r="C459" s="828" t="s">
        <v>4243</v>
      </c>
      <c r="D459" s="829" t="s">
        <v>4244</v>
      </c>
      <c r="E459" s="830" t="s">
        <v>4794</v>
      </c>
      <c r="F459" s="830" t="s">
        <v>4794</v>
      </c>
      <c r="G459" s="831">
        <v>500</v>
      </c>
      <c r="H459" s="830" t="s">
        <v>4794</v>
      </c>
      <c r="I459" s="831">
        <v>500</v>
      </c>
      <c r="J459" s="830" t="s">
        <v>4794</v>
      </c>
      <c r="K459" s="831">
        <v>500</v>
      </c>
      <c r="L459" s="830" t="s">
        <v>4794</v>
      </c>
      <c r="M459" s="831">
        <v>500</v>
      </c>
      <c r="N459" s="830" t="s">
        <v>4794</v>
      </c>
      <c r="O459" s="830" t="s">
        <v>4794</v>
      </c>
      <c r="P459" s="830" t="s">
        <v>4794</v>
      </c>
      <c r="Q459" s="832">
        <f t="shared" si="6"/>
        <v>2000</v>
      </c>
      <c r="R459" s="833" t="s">
        <v>4025</v>
      </c>
      <c r="S459" s="836"/>
      <c r="T459" s="851"/>
      <c r="U459" s="851"/>
      <c r="V459" s="851"/>
      <c r="W459" s="851"/>
      <c r="X459" s="851"/>
      <c r="Y459" s="851"/>
      <c r="Z459" s="851"/>
      <c r="AA459" s="851"/>
      <c r="AB459" s="851"/>
      <c r="AC459" s="851"/>
      <c r="AD459" s="851"/>
      <c r="AE459" s="851"/>
      <c r="AF459" s="837"/>
    </row>
    <row r="460" spans="1:32" ht="21">
      <c r="A460" s="827">
        <v>437</v>
      </c>
      <c r="B460" s="828" t="s">
        <v>100</v>
      </c>
      <c r="C460" s="828" t="s">
        <v>4245</v>
      </c>
      <c r="D460" s="829" t="s">
        <v>4246</v>
      </c>
      <c r="E460" s="830" t="s">
        <v>4794</v>
      </c>
      <c r="F460" s="830" t="s">
        <v>4794</v>
      </c>
      <c r="G460" s="831">
        <v>3</v>
      </c>
      <c r="H460" s="830" t="s">
        <v>4794</v>
      </c>
      <c r="I460" s="830" t="s">
        <v>4794</v>
      </c>
      <c r="J460" s="830" t="s">
        <v>4794</v>
      </c>
      <c r="K460" s="831">
        <v>2</v>
      </c>
      <c r="L460" s="830" t="s">
        <v>4794</v>
      </c>
      <c r="M460" s="830" t="s">
        <v>4794</v>
      </c>
      <c r="N460" s="830" t="s">
        <v>4794</v>
      </c>
      <c r="O460" s="830" t="s">
        <v>4794</v>
      </c>
      <c r="P460" s="830" t="s">
        <v>4794</v>
      </c>
      <c r="Q460" s="832">
        <f t="shared" si="6"/>
        <v>5</v>
      </c>
      <c r="R460" s="833" t="s">
        <v>4247</v>
      </c>
      <c r="S460" s="836"/>
      <c r="T460" s="837"/>
      <c r="U460" s="837"/>
      <c r="V460" s="837"/>
      <c r="W460" s="837"/>
      <c r="X460" s="837"/>
      <c r="Y460" s="837"/>
      <c r="Z460" s="837"/>
      <c r="AA460" s="837"/>
      <c r="AB460" s="837"/>
      <c r="AC460" s="837"/>
      <c r="AD460" s="837"/>
      <c r="AE460" s="837"/>
      <c r="AF460" s="837"/>
    </row>
    <row r="461" spans="1:32" ht="21">
      <c r="A461" s="827">
        <v>438</v>
      </c>
      <c r="B461" s="828" t="s">
        <v>100</v>
      </c>
      <c r="C461" s="828" t="s">
        <v>4248</v>
      </c>
      <c r="D461" s="829" t="s">
        <v>4249</v>
      </c>
      <c r="E461" s="830" t="s">
        <v>4794</v>
      </c>
      <c r="F461" s="831">
        <v>500</v>
      </c>
      <c r="G461" s="830" t="s">
        <v>4794</v>
      </c>
      <c r="H461" s="831">
        <v>500</v>
      </c>
      <c r="I461" s="830" t="s">
        <v>4794</v>
      </c>
      <c r="J461" s="831">
        <v>500</v>
      </c>
      <c r="K461" s="830" t="s">
        <v>4794</v>
      </c>
      <c r="L461" s="830" t="s">
        <v>4794</v>
      </c>
      <c r="M461" s="830" t="s">
        <v>4794</v>
      </c>
      <c r="N461" s="830" t="s">
        <v>4794</v>
      </c>
      <c r="O461" s="830" t="s">
        <v>4794</v>
      </c>
      <c r="P461" s="830" t="s">
        <v>4794</v>
      </c>
      <c r="Q461" s="832">
        <f t="shared" si="6"/>
        <v>1500</v>
      </c>
      <c r="R461" s="833" t="s">
        <v>4025</v>
      </c>
      <c r="S461" s="836"/>
      <c r="T461" s="837"/>
      <c r="U461" s="837"/>
      <c r="V461" s="837"/>
      <c r="W461" s="837"/>
      <c r="X461" s="837"/>
      <c r="Y461" s="837"/>
      <c r="Z461" s="837"/>
      <c r="AA461" s="837"/>
      <c r="AB461" s="837"/>
      <c r="AC461" s="837"/>
      <c r="AD461" s="837"/>
      <c r="AE461" s="837"/>
      <c r="AF461" s="837"/>
    </row>
    <row r="462" spans="1:32" ht="21">
      <c r="A462" s="827">
        <v>439</v>
      </c>
      <c r="B462" s="828" t="s">
        <v>100</v>
      </c>
      <c r="C462" s="828" t="s">
        <v>4250</v>
      </c>
      <c r="D462" s="829" t="s">
        <v>4251</v>
      </c>
      <c r="E462" s="830"/>
      <c r="F462" s="830" t="s">
        <v>4794</v>
      </c>
      <c r="G462" s="830" t="s">
        <v>4794</v>
      </c>
      <c r="H462" s="830" t="s">
        <v>4794</v>
      </c>
      <c r="I462" s="831">
        <v>300</v>
      </c>
      <c r="J462" s="830" t="s">
        <v>4794</v>
      </c>
      <c r="K462" s="830" t="s">
        <v>4794</v>
      </c>
      <c r="L462" s="830" t="s">
        <v>4794</v>
      </c>
      <c r="M462" s="831">
        <v>300</v>
      </c>
      <c r="N462" s="830" t="s">
        <v>4794</v>
      </c>
      <c r="O462" s="830" t="s">
        <v>4794</v>
      </c>
      <c r="P462" s="830" t="s">
        <v>4794</v>
      </c>
      <c r="Q462" s="832">
        <f t="shared" si="6"/>
        <v>600</v>
      </c>
      <c r="R462" s="833" t="s">
        <v>4025</v>
      </c>
      <c r="S462" s="836"/>
      <c r="T462" s="837"/>
      <c r="U462" s="837"/>
      <c r="V462" s="837"/>
      <c r="W462" s="837"/>
      <c r="X462" s="837"/>
      <c r="Y462" s="837"/>
      <c r="Z462" s="837"/>
      <c r="AA462" s="837"/>
      <c r="AB462" s="837"/>
      <c r="AC462" s="837"/>
      <c r="AD462" s="837"/>
      <c r="AE462" s="837"/>
      <c r="AF462" s="837"/>
    </row>
    <row r="463" spans="1:32" ht="31.5">
      <c r="A463" s="827">
        <v>440</v>
      </c>
      <c r="B463" s="828" t="s">
        <v>100</v>
      </c>
      <c r="C463" s="828" t="s">
        <v>4252</v>
      </c>
      <c r="D463" s="829" t="s">
        <v>4253</v>
      </c>
      <c r="E463" s="830" t="s">
        <v>4794</v>
      </c>
      <c r="F463" s="830" t="s">
        <v>4794</v>
      </c>
      <c r="G463" s="830"/>
      <c r="H463" s="830" t="s">
        <v>4794</v>
      </c>
      <c r="I463" s="831">
        <v>10</v>
      </c>
      <c r="J463" s="830" t="s">
        <v>4794</v>
      </c>
      <c r="K463" s="830" t="s">
        <v>4794</v>
      </c>
      <c r="L463" s="830" t="s">
        <v>4794</v>
      </c>
      <c r="M463" s="830"/>
      <c r="N463" s="830" t="s">
        <v>4794</v>
      </c>
      <c r="O463" s="830" t="s">
        <v>4794</v>
      </c>
      <c r="P463" s="830" t="s">
        <v>4794</v>
      </c>
      <c r="Q463" s="832">
        <f t="shared" si="6"/>
        <v>10</v>
      </c>
      <c r="R463" s="833" t="s">
        <v>3714</v>
      </c>
      <c r="S463" s="836"/>
      <c r="T463" s="837"/>
      <c r="U463" s="837"/>
      <c r="V463" s="837"/>
      <c r="W463" s="837"/>
      <c r="X463" s="837"/>
      <c r="Y463" s="837"/>
      <c r="Z463" s="837"/>
      <c r="AA463" s="837"/>
      <c r="AB463" s="837"/>
      <c r="AC463" s="837"/>
      <c r="AD463" s="837"/>
      <c r="AE463" s="837"/>
      <c r="AF463" s="837"/>
    </row>
    <row r="464" spans="1:32" ht="31.5">
      <c r="A464" s="827">
        <v>441</v>
      </c>
      <c r="B464" s="828" t="s">
        <v>100</v>
      </c>
      <c r="C464" s="828" t="s">
        <v>4254</v>
      </c>
      <c r="D464" s="829" t="s">
        <v>4255</v>
      </c>
      <c r="E464" s="830" t="s">
        <v>4794</v>
      </c>
      <c r="F464" s="830" t="s">
        <v>4794</v>
      </c>
      <c r="G464" s="830" t="s">
        <v>4794</v>
      </c>
      <c r="H464" s="830" t="s">
        <v>4794</v>
      </c>
      <c r="I464" s="830" t="s">
        <v>4794</v>
      </c>
      <c r="J464" s="830" t="s">
        <v>4794</v>
      </c>
      <c r="K464" s="830" t="s">
        <v>4794</v>
      </c>
      <c r="L464" s="831">
        <v>10</v>
      </c>
      <c r="M464" s="830" t="s">
        <v>4794</v>
      </c>
      <c r="N464" s="830" t="s">
        <v>4794</v>
      </c>
      <c r="O464" s="830" t="s">
        <v>4794</v>
      </c>
      <c r="P464" s="830" t="s">
        <v>4794</v>
      </c>
      <c r="Q464" s="832">
        <f t="shared" si="6"/>
        <v>10</v>
      </c>
      <c r="R464" s="833" t="s">
        <v>3714</v>
      </c>
      <c r="S464" s="836"/>
      <c r="T464" s="837"/>
      <c r="U464" s="837"/>
      <c r="V464" s="837"/>
      <c r="W464" s="837"/>
      <c r="X464" s="837"/>
      <c r="Y464" s="837"/>
      <c r="Z464" s="837"/>
      <c r="AA464" s="837"/>
      <c r="AB464" s="837"/>
      <c r="AC464" s="837"/>
      <c r="AD464" s="837"/>
      <c r="AE464" s="837"/>
      <c r="AF464" s="837"/>
    </row>
    <row r="465" spans="1:32" ht="21">
      <c r="A465" s="827">
        <v>442</v>
      </c>
      <c r="B465" s="828" t="s">
        <v>100</v>
      </c>
      <c r="C465" s="828" t="s">
        <v>4256</v>
      </c>
      <c r="D465" s="829" t="s">
        <v>4257</v>
      </c>
      <c r="E465" s="830" t="s">
        <v>4794</v>
      </c>
      <c r="F465" s="830" t="s">
        <v>4794</v>
      </c>
      <c r="G465" s="830" t="s">
        <v>4794</v>
      </c>
      <c r="H465" s="830"/>
      <c r="I465" s="830" t="s">
        <v>4794</v>
      </c>
      <c r="J465" s="830" t="s">
        <v>4794</v>
      </c>
      <c r="K465" s="831">
        <v>10</v>
      </c>
      <c r="L465" s="830" t="s">
        <v>4794</v>
      </c>
      <c r="M465" s="830" t="s">
        <v>4794</v>
      </c>
      <c r="N465" s="830" t="s">
        <v>4794</v>
      </c>
      <c r="O465" s="830" t="s">
        <v>4794</v>
      </c>
      <c r="P465" s="830" t="s">
        <v>4794</v>
      </c>
      <c r="Q465" s="832">
        <f t="shared" si="6"/>
        <v>10</v>
      </c>
      <c r="R465" s="833" t="s">
        <v>3714</v>
      </c>
      <c r="S465" s="836"/>
      <c r="T465" s="837"/>
      <c r="U465" s="837"/>
      <c r="V465" s="837"/>
      <c r="W465" s="837"/>
      <c r="X465" s="837"/>
      <c r="Y465" s="837"/>
      <c r="Z465" s="837"/>
      <c r="AA465" s="837"/>
      <c r="AB465" s="837"/>
      <c r="AC465" s="837"/>
      <c r="AD465" s="837"/>
      <c r="AE465" s="837"/>
      <c r="AF465" s="837"/>
    </row>
    <row r="466" spans="1:32" ht="21">
      <c r="A466" s="827">
        <v>443</v>
      </c>
      <c r="B466" s="828" t="s">
        <v>100</v>
      </c>
      <c r="C466" s="828" t="s">
        <v>4258</v>
      </c>
      <c r="D466" s="829" t="s">
        <v>4259</v>
      </c>
      <c r="E466" s="830" t="s">
        <v>4794</v>
      </c>
      <c r="F466" s="830" t="s">
        <v>4794</v>
      </c>
      <c r="G466" s="830" t="s">
        <v>4794</v>
      </c>
      <c r="H466" s="830" t="s">
        <v>4794</v>
      </c>
      <c r="I466" s="830" t="s">
        <v>4794</v>
      </c>
      <c r="J466" s="831">
        <v>10</v>
      </c>
      <c r="K466" s="830" t="s">
        <v>4794</v>
      </c>
      <c r="L466" s="830" t="s">
        <v>4794</v>
      </c>
      <c r="M466" s="830" t="s">
        <v>4794</v>
      </c>
      <c r="N466" s="830" t="s">
        <v>4794</v>
      </c>
      <c r="O466" s="830" t="s">
        <v>4794</v>
      </c>
      <c r="P466" s="830" t="s">
        <v>4794</v>
      </c>
      <c r="Q466" s="832">
        <f t="shared" si="6"/>
        <v>10</v>
      </c>
      <c r="R466" s="833" t="s">
        <v>3714</v>
      </c>
      <c r="S466" s="859"/>
      <c r="T466" s="859"/>
      <c r="U466" s="859"/>
      <c r="V466" s="859"/>
      <c r="W466" s="859"/>
      <c r="X466" s="859"/>
      <c r="Y466" s="859"/>
      <c r="Z466" s="859"/>
      <c r="AA466" s="859"/>
      <c r="AB466" s="859"/>
      <c r="AC466" s="859"/>
      <c r="AD466" s="859"/>
      <c r="AE466" s="859"/>
      <c r="AF466" s="859"/>
    </row>
    <row r="467" spans="1:32" ht="42">
      <c r="A467" s="827">
        <v>444</v>
      </c>
      <c r="B467" s="828" t="s">
        <v>100</v>
      </c>
      <c r="C467" s="828" t="s">
        <v>4260</v>
      </c>
      <c r="D467" s="829" t="s">
        <v>4261</v>
      </c>
      <c r="E467" s="830" t="s">
        <v>4794</v>
      </c>
      <c r="F467" s="830" t="s">
        <v>4794</v>
      </c>
      <c r="G467" s="831">
        <v>1</v>
      </c>
      <c r="H467" s="830" t="s">
        <v>4794</v>
      </c>
      <c r="I467" s="830"/>
      <c r="J467" s="830"/>
      <c r="K467" s="831">
        <v>1</v>
      </c>
      <c r="L467" s="830"/>
      <c r="M467" s="831">
        <v>1</v>
      </c>
      <c r="N467" s="830" t="s">
        <v>4794</v>
      </c>
      <c r="O467" s="830" t="s">
        <v>4794</v>
      </c>
      <c r="P467" s="830" t="s">
        <v>4794</v>
      </c>
      <c r="Q467" s="832">
        <f t="shared" si="6"/>
        <v>3</v>
      </c>
      <c r="R467" s="833" t="s">
        <v>4025</v>
      </c>
      <c r="S467" s="834"/>
      <c r="T467" s="865"/>
      <c r="U467" s="865"/>
      <c r="V467" s="865"/>
      <c r="W467" s="865"/>
      <c r="X467" s="865"/>
      <c r="Y467" s="865"/>
      <c r="Z467" s="865"/>
      <c r="AA467" s="865"/>
      <c r="AB467" s="865"/>
      <c r="AC467" s="865"/>
      <c r="AD467" s="865"/>
      <c r="AE467" s="865"/>
      <c r="AF467" s="835"/>
    </row>
    <row r="468" spans="1:32" ht="21">
      <c r="A468" s="827">
        <v>445</v>
      </c>
      <c r="B468" s="828" t="s">
        <v>100</v>
      </c>
      <c r="C468" s="828" t="s">
        <v>4262</v>
      </c>
      <c r="D468" s="829" t="s">
        <v>4263</v>
      </c>
      <c r="E468" s="830" t="s">
        <v>4794</v>
      </c>
      <c r="F468" s="830" t="s">
        <v>4794</v>
      </c>
      <c r="G468" s="830"/>
      <c r="H468" s="830" t="s">
        <v>4794</v>
      </c>
      <c r="I468" s="830" t="s">
        <v>4794</v>
      </c>
      <c r="J468" s="831">
        <v>10</v>
      </c>
      <c r="K468" s="830" t="s">
        <v>4794</v>
      </c>
      <c r="L468" s="830" t="s">
        <v>4794</v>
      </c>
      <c r="M468" s="830" t="s">
        <v>4794</v>
      </c>
      <c r="N468" s="830" t="s">
        <v>4794</v>
      </c>
      <c r="O468" s="830" t="s">
        <v>4794</v>
      </c>
      <c r="P468" s="830" t="s">
        <v>4794</v>
      </c>
      <c r="Q468" s="832">
        <f t="shared" si="6"/>
        <v>10</v>
      </c>
      <c r="R468" s="833" t="s">
        <v>3714</v>
      </c>
      <c r="S468" s="834"/>
      <c r="T468" s="865"/>
      <c r="U468" s="865"/>
      <c r="V468" s="865"/>
      <c r="W468" s="865"/>
      <c r="X468" s="865"/>
      <c r="Y468" s="865"/>
      <c r="Z468" s="865"/>
      <c r="AA468" s="865"/>
      <c r="AB468" s="865"/>
      <c r="AC468" s="865"/>
      <c r="AD468" s="865"/>
      <c r="AE468" s="865"/>
      <c r="AF468" s="835"/>
    </row>
    <row r="469" spans="1:32" ht="42">
      <c r="A469" s="827">
        <v>446</v>
      </c>
      <c r="B469" s="828" t="s">
        <v>100</v>
      </c>
      <c r="C469" s="828" t="s">
        <v>4264</v>
      </c>
      <c r="D469" s="829" t="s">
        <v>4265</v>
      </c>
      <c r="E469" s="830" t="s">
        <v>4794</v>
      </c>
      <c r="F469" s="830" t="s">
        <v>4794</v>
      </c>
      <c r="G469" s="830" t="s">
        <v>4794</v>
      </c>
      <c r="H469" s="831">
        <v>100</v>
      </c>
      <c r="I469" s="830" t="s">
        <v>4794</v>
      </c>
      <c r="J469" s="830" t="s">
        <v>4794</v>
      </c>
      <c r="K469" s="830" t="s">
        <v>4794</v>
      </c>
      <c r="L469" s="830" t="s">
        <v>4794</v>
      </c>
      <c r="M469" s="830" t="s">
        <v>4794</v>
      </c>
      <c r="N469" s="830" t="s">
        <v>4794</v>
      </c>
      <c r="O469" s="830" t="s">
        <v>4794</v>
      </c>
      <c r="P469" s="830" t="s">
        <v>4794</v>
      </c>
      <c r="Q469" s="832">
        <f t="shared" si="6"/>
        <v>100</v>
      </c>
      <c r="R469" s="833" t="s">
        <v>4025</v>
      </c>
      <c r="S469" s="834"/>
      <c r="T469" s="865"/>
      <c r="U469" s="865"/>
      <c r="V469" s="865"/>
      <c r="W469" s="865"/>
      <c r="X469" s="865"/>
      <c r="Y469" s="865"/>
      <c r="Z469" s="865"/>
      <c r="AA469" s="865"/>
      <c r="AB469" s="865"/>
      <c r="AC469" s="865"/>
      <c r="AD469" s="865"/>
      <c r="AE469" s="865"/>
      <c r="AF469" s="835"/>
    </row>
    <row r="470" spans="1:32" ht="42">
      <c r="A470" s="827">
        <v>447</v>
      </c>
      <c r="B470" s="828" t="s">
        <v>100</v>
      </c>
      <c r="C470" s="828" t="s">
        <v>4266</v>
      </c>
      <c r="D470" s="829" t="s">
        <v>4267</v>
      </c>
      <c r="E470" s="830" t="s">
        <v>4794</v>
      </c>
      <c r="F470" s="830" t="s">
        <v>4794</v>
      </c>
      <c r="G470" s="830" t="s">
        <v>4794</v>
      </c>
      <c r="H470" s="830" t="s">
        <v>4794</v>
      </c>
      <c r="I470" s="831">
        <v>100</v>
      </c>
      <c r="J470" s="830" t="s">
        <v>4794</v>
      </c>
      <c r="K470" s="830" t="s">
        <v>4794</v>
      </c>
      <c r="L470" s="830" t="s">
        <v>4794</v>
      </c>
      <c r="M470" s="830" t="s">
        <v>4794</v>
      </c>
      <c r="N470" s="830" t="s">
        <v>4794</v>
      </c>
      <c r="O470" s="830" t="s">
        <v>4794</v>
      </c>
      <c r="P470" s="830" t="s">
        <v>4794</v>
      </c>
      <c r="Q470" s="832">
        <f t="shared" si="6"/>
        <v>100</v>
      </c>
      <c r="R470" s="833" t="s">
        <v>4025</v>
      </c>
      <c r="S470" s="834"/>
      <c r="T470" s="866"/>
      <c r="U470" s="866"/>
      <c r="V470" s="866"/>
      <c r="W470" s="850"/>
      <c r="X470" s="866"/>
      <c r="Y470" s="866"/>
      <c r="Z470" s="866"/>
      <c r="AA470" s="866"/>
      <c r="AB470" s="866"/>
      <c r="AC470" s="866"/>
      <c r="AD470" s="866"/>
      <c r="AE470" s="866"/>
      <c r="AF470" s="835"/>
    </row>
    <row r="471" spans="1:32" ht="42">
      <c r="A471" s="827">
        <v>448</v>
      </c>
      <c r="B471" s="828" t="s">
        <v>100</v>
      </c>
      <c r="C471" s="828" t="s">
        <v>4268</v>
      </c>
      <c r="D471" s="829" t="s">
        <v>4269</v>
      </c>
      <c r="E471" s="830" t="s">
        <v>4794</v>
      </c>
      <c r="F471" s="830" t="s">
        <v>4794</v>
      </c>
      <c r="G471" s="830" t="s">
        <v>4794</v>
      </c>
      <c r="H471" s="830" t="s">
        <v>4794</v>
      </c>
      <c r="I471" s="830" t="s">
        <v>4794</v>
      </c>
      <c r="J471" s="831">
        <v>100</v>
      </c>
      <c r="K471" s="830" t="s">
        <v>4794</v>
      </c>
      <c r="L471" s="830" t="s">
        <v>4794</v>
      </c>
      <c r="M471" s="830" t="s">
        <v>4794</v>
      </c>
      <c r="N471" s="830" t="s">
        <v>4794</v>
      </c>
      <c r="O471" s="830" t="s">
        <v>4794</v>
      </c>
      <c r="P471" s="830" t="s">
        <v>4794</v>
      </c>
      <c r="Q471" s="832">
        <f t="shared" si="6"/>
        <v>100</v>
      </c>
      <c r="R471" s="833" t="s">
        <v>4025</v>
      </c>
      <c r="S471" s="859"/>
      <c r="T471" s="859"/>
      <c r="U471" s="859"/>
      <c r="V471" s="859"/>
      <c r="W471" s="859"/>
      <c r="X471" s="859"/>
      <c r="Y471" s="859"/>
      <c r="Z471" s="859"/>
      <c r="AA471" s="859"/>
      <c r="AB471" s="859"/>
      <c r="AC471" s="859"/>
      <c r="AD471" s="859"/>
      <c r="AE471" s="859"/>
      <c r="AF471" s="859"/>
    </row>
    <row r="472" spans="1:32" ht="42">
      <c r="A472" s="827">
        <v>449</v>
      </c>
      <c r="B472" s="828" t="s">
        <v>100</v>
      </c>
      <c r="C472" s="828" t="s">
        <v>4270</v>
      </c>
      <c r="D472" s="829" t="s">
        <v>4271</v>
      </c>
      <c r="E472" s="830" t="s">
        <v>4794</v>
      </c>
      <c r="F472" s="830" t="s">
        <v>4794</v>
      </c>
      <c r="G472" s="830" t="s">
        <v>4794</v>
      </c>
      <c r="H472" s="830" t="s">
        <v>4794</v>
      </c>
      <c r="I472" s="830" t="s">
        <v>4794</v>
      </c>
      <c r="J472" s="830" t="s">
        <v>4794</v>
      </c>
      <c r="K472" s="831">
        <v>100</v>
      </c>
      <c r="L472" s="830" t="s">
        <v>4794</v>
      </c>
      <c r="M472" s="830" t="s">
        <v>4794</v>
      </c>
      <c r="N472" s="830" t="s">
        <v>4794</v>
      </c>
      <c r="O472" s="830" t="s">
        <v>4794</v>
      </c>
      <c r="P472" s="830" t="s">
        <v>4794</v>
      </c>
      <c r="Q472" s="832">
        <f t="shared" si="6"/>
        <v>100</v>
      </c>
      <c r="R472" s="833" t="s">
        <v>4025</v>
      </c>
      <c r="S472" s="834"/>
      <c r="T472" s="850"/>
      <c r="U472" s="850"/>
      <c r="V472" s="850"/>
      <c r="W472" s="850"/>
      <c r="X472" s="850"/>
      <c r="Y472" s="850"/>
      <c r="Z472" s="850"/>
      <c r="AA472" s="850"/>
      <c r="AB472" s="850"/>
      <c r="AC472" s="850"/>
      <c r="AD472" s="850"/>
      <c r="AE472" s="850"/>
      <c r="AF472" s="835"/>
    </row>
    <row r="473" spans="1:32" ht="42">
      <c r="A473" s="827">
        <v>450</v>
      </c>
      <c r="B473" s="828" t="s">
        <v>100</v>
      </c>
      <c r="C473" s="828" t="s">
        <v>4272</v>
      </c>
      <c r="D473" s="829" t="s">
        <v>4273</v>
      </c>
      <c r="E473" s="830" t="s">
        <v>4794</v>
      </c>
      <c r="F473" s="830" t="s">
        <v>4794</v>
      </c>
      <c r="G473" s="830" t="s">
        <v>4794</v>
      </c>
      <c r="H473" s="830" t="s">
        <v>4794</v>
      </c>
      <c r="I473" s="830" t="s">
        <v>4794</v>
      </c>
      <c r="J473" s="830" t="s">
        <v>4794</v>
      </c>
      <c r="K473" s="830" t="s">
        <v>4794</v>
      </c>
      <c r="L473" s="831">
        <v>100</v>
      </c>
      <c r="M473" s="830" t="s">
        <v>4794</v>
      </c>
      <c r="N473" s="830" t="s">
        <v>4794</v>
      </c>
      <c r="O473" s="830" t="s">
        <v>4794</v>
      </c>
      <c r="P473" s="830" t="s">
        <v>4794</v>
      </c>
      <c r="Q473" s="832">
        <f t="shared" si="6"/>
        <v>100</v>
      </c>
      <c r="R473" s="833" t="s">
        <v>4247</v>
      </c>
      <c r="S473" s="834"/>
      <c r="T473" s="850"/>
      <c r="U473" s="850"/>
      <c r="V473" s="850"/>
      <c r="W473" s="850"/>
      <c r="X473" s="850"/>
      <c r="Y473" s="850"/>
      <c r="Z473" s="850"/>
      <c r="AA473" s="850"/>
      <c r="AB473" s="850"/>
      <c r="AC473" s="850"/>
      <c r="AD473" s="850"/>
      <c r="AE473" s="850"/>
      <c r="AF473" s="835"/>
    </row>
    <row r="474" spans="1:32">
      <c r="A474" s="827">
        <v>451</v>
      </c>
      <c r="B474" s="828" t="s">
        <v>100</v>
      </c>
      <c r="C474" s="828" t="s">
        <v>4274</v>
      </c>
      <c r="D474" s="829" t="s">
        <v>4275</v>
      </c>
      <c r="E474" s="830" t="s">
        <v>4794</v>
      </c>
      <c r="F474" s="830" t="s">
        <v>4794</v>
      </c>
      <c r="G474" s="830" t="s">
        <v>4794</v>
      </c>
      <c r="H474" s="830" t="s">
        <v>4794</v>
      </c>
      <c r="I474" s="831">
        <v>5</v>
      </c>
      <c r="J474" s="830" t="s">
        <v>4794</v>
      </c>
      <c r="K474" s="830" t="s">
        <v>4794</v>
      </c>
      <c r="L474" s="831">
        <v>5</v>
      </c>
      <c r="M474" s="830" t="s">
        <v>4794</v>
      </c>
      <c r="N474" s="830" t="s">
        <v>4794</v>
      </c>
      <c r="O474" s="830" t="s">
        <v>4794</v>
      </c>
      <c r="P474" s="830" t="s">
        <v>4794</v>
      </c>
      <c r="Q474" s="832">
        <f t="shared" si="6"/>
        <v>10</v>
      </c>
      <c r="R474" s="833" t="s">
        <v>3714</v>
      </c>
      <c r="S474" s="834"/>
      <c r="T474" s="850"/>
      <c r="U474" s="850"/>
      <c r="V474" s="850"/>
      <c r="W474" s="850"/>
      <c r="X474" s="850"/>
      <c r="Y474" s="850"/>
      <c r="Z474" s="850"/>
      <c r="AA474" s="850"/>
      <c r="AB474" s="850"/>
      <c r="AC474" s="850"/>
      <c r="AD474" s="850"/>
      <c r="AE474" s="850"/>
      <c r="AF474" s="835"/>
    </row>
    <row r="475" spans="1:32" ht="21">
      <c r="A475" s="827">
        <v>452</v>
      </c>
      <c r="B475" s="828" t="s">
        <v>100</v>
      </c>
      <c r="C475" s="828" t="s">
        <v>4276</v>
      </c>
      <c r="D475" s="829" t="s">
        <v>4277</v>
      </c>
      <c r="E475" s="830" t="s">
        <v>4794</v>
      </c>
      <c r="F475" s="830" t="s">
        <v>4794</v>
      </c>
      <c r="G475" s="830" t="s">
        <v>4794</v>
      </c>
      <c r="H475" s="830" t="s">
        <v>4794</v>
      </c>
      <c r="I475" s="831">
        <v>5</v>
      </c>
      <c r="J475" s="830" t="s">
        <v>4794</v>
      </c>
      <c r="K475" s="830" t="s">
        <v>4794</v>
      </c>
      <c r="L475" s="831">
        <v>5</v>
      </c>
      <c r="M475" s="830" t="s">
        <v>4794</v>
      </c>
      <c r="N475" s="830" t="s">
        <v>4794</v>
      </c>
      <c r="O475" s="830" t="s">
        <v>4794</v>
      </c>
      <c r="P475" s="830" t="s">
        <v>4794</v>
      </c>
      <c r="Q475" s="832">
        <f t="shared" si="6"/>
        <v>10</v>
      </c>
      <c r="R475" s="833" t="s">
        <v>3714</v>
      </c>
      <c r="S475" s="834"/>
      <c r="T475" s="850"/>
      <c r="U475" s="850"/>
      <c r="V475" s="850"/>
      <c r="W475" s="850"/>
      <c r="X475" s="850"/>
      <c r="Y475" s="850"/>
      <c r="Z475" s="850"/>
      <c r="AA475" s="850"/>
      <c r="AB475" s="850"/>
      <c r="AC475" s="850"/>
      <c r="AD475" s="850"/>
      <c r="AE475" s="850"/>
      <c r="AF475" s="835"/>
    </row>
    <row r="476" spans="1:32" ht="15.75">
      <c r="A476" s="827">
        <v>453</v>
      </c>
      <c r="B476" s="828" t="s">
        <v>100</v>
      </c>
      <c r="C476" s="828" t="s">
        <v>4278</v>
      </c>
      <c r="D476" s="829" t="s">
        <v>4279</v>
      </c>
      <c r="E476" s="830" t="s">
        <v>4794</v>
      </c>
      <c r="F476" s="830" t="s">
        <v>4794</v>
      </c>
      <c r="G476" s="831">
        <v>5</v>
      </c>
      <c r="H476" s="830" t="s">
        <v>4794</v>
      </c>
      <c r="I476" s="831">
        <v>3</v>
      </c>
      <c r="J476" s="830" t="s">
        <v>4794</v>
      </c>
      <c r="K476" s="830" t="s">
        <v>4794</v>
      </c>
      <c r="L476" s="830" t="s">
        <v>4794</v>
      </c>
      <c r="M476" s="830" t="s">
        <v>4794</v>
      </c>
      <c r="N476" s="830" t="s">
        <v>4794</v>
      </c>
      <c r="O476" s="831">
        <v>2</v>
      </c>
      <c r="P476" s="830" t="s">
        <v>4794</v>
      </c>
      <c r="Q476" s="832">
        <f t="shared" si="6"/>
        <v>10</v>
      </c>
      <c r="R476" s="833" t="s">
        <v>3714</v>
      </c>
      <c r="S476" s="825"/>
      <c r="T476" s="155"/>
      <c r="U476" s="155"/>
      <c r="V476" s="155"/>
      <c r="W476" s="155"/>
      <c r="X476" s="155"/>
      <c r="Y476" s="155"/>
      <c r="Z476" s="155"/>
      <c r="AA476" s="155"/>
      <c r="AB476" s="155"/>
      <c r="AC476" s="155"/>
      <c r="AD476" s="155"/>
      <c r="AE476" s="155"/>
      <c r="AF476" s="835"/>
    </row>
    <row r="477" spans="1:32" ht="21">
      <c r="A477" s="827">
        <v>454</v>
      </c>
      <c r="B477" s="828" t="s">
        <v>100</v>
      </c>
      <c r="C477" s="828" t="s">
        <v>4280</v>
      </c>
      <c r="D477" s="829" t="s">
        <v>4281</v>
      </c>
      <c r="E477" s="830" t="s">
        <v>4794</v>
      </c>
      <c r="F477" s="830" t="s">
        <v>4794</v>
      </c>
      <c r="G477" s="830" t="s">
        <v>4794</v>
      </c>
      <c r="H477" s="831">
        <v>3</v>
      </c>
      <c r="I477" s="830" t="s">
        <v>4794</v>
      </c>
      <c r="J477" s="831">
        <v>5</v>
      </c>
      <c r="K477" s="831">
        <v>2</v>
      </c>
      <c r="L477" s="830" t="s">
        <v>4794</v>
      </c>
      <c r="M477" s="830" t="s">
        <v>4794</v>
      </c>
      <c r="N477" s="830" t="s">
        <v>4794</v>
      </c>
      <c r="O477" s="830" t="s">
        <v>4794</v>
      </c>
      <c r="P477" s="830" t="s">
        <v>4794</v>
      </c>
      <c r="Q477" s="832">
        <f t="shared" si="6"/>
        <v>10</v>
      </c>
      <c r="R477" s="833" t="s">
        <v>3714</v>
      </c>
      <c r="S477" s="834"/>
      <c r="T477" s="850"/>
      <c r="U477" s="850"/>
      <c r="V477" s="850"/>
      <c r="W477" s="850"/>
      <c r="X477" s="850"/>
      <c r="Y477" s="850"/>
      <c r="Z477" s="850"/>
      <c r="AA477" s="850"/>
      <c r="AB477" s="850"/>
      <c r="AC477" s="850"/>
      <c r="AD477" s="850"/>
      <c r="AE477" s="850"/>
      <c r="AF477" s="835"/>
    </row>
    <row r="478" spans="1:32">
      <c r="A478" s="827">
        <v>455</v>
      </c>
      <c r="B478" s="828" t="s">
        <v>100</v>
      </c>
      <c r="C478" s="828" t="s">
        <v>4282</v>
      </c>
      <c r="D478" s="829" t="s">
        <v>4283</v>
      </c>
      <c r="E478" s="830" t="s">
        <v>4794</v>
      </c>
      <c r="F478" s="831">
        <v>4</v>
      </c>
      <c r="G478" s="830" t="s">
        <v>4794</v>
      </c>
      <c r="H478" s="830" t="s">
        <v>4794</v>
      </c>
      <c r="I478" s="831">
        <v>4</v>
      </c>
      <c r="J478" s="830" t="s">
        <v>4794</v>
      </c>
      <c r="K478" s="830" t="s">
        <v>4794</v>
      </c>
      <c r="L478" s="831">
        <v>5</v>
      </c>
      <c r="M478" s="830" t="s">
        <v>4794</v>
      </c>
      <c r="N478" s="830" t="s">
        <v>4794</v>
      </c>
      <c r="O478" s="830" t="s">
        <v>4794</v>
      </c>
      <c r="P478" s="830" t="s">
        <v>4794</v>
      </c>
      <c r="Q478" s="832">
        <f t="shared" si="6"/>
        <v>13</v>
      </c>
      <c r="R478" s="833" t="s">
        <v>3714</v>
      </c>
      <c r="S478" s="834"/>
      <c r="T478" s="850"/>
      <c r="U478" s="850"/>
      <c r="V478" s="850"/>
      <c r="W478" s="850"/>
      <c r="X478" s="850"/>
      <c r="Y478" s="850"/>
      <c r="Z478" s="850"/>
      <c r="AA478" s="850"/>
      <c r="AB478" s="850"/>
      <c r="AC478" s="850"/>
      <c r="AD478" s="850"/>
      <c r="AE478" s="850"/>
      <c r="AF478" s="835"/>
    </row>
    <row r="479" spans="1:32" ht="21">
      <c r="A479" s="827">
        <v>456</v>
      </c>
      <c r="B479" s="828" t="s">
        <v>100</v>
      </c>
      <c r="C479" s="828" t="s">
        <v>4284</v>
      </c>
      <c r="D479" s="829" t="s">
        <v>4285</v>
      </c>
      <c r="E479" s="830" t="s">
        <v>4794</v>
      </c>
      <c r="F479" s="830" t="s">
        <v>4794</v>
      </c>
      <c r="G479" s="831">
        <v>3</v>
      </c>
      <c r="H479" s="830" t="s">
        <v>4794</v>
      </c>
      <c r="I479" s="831">
        <v>2</v>
      </c>
      <c r="J479" s="830" t="s">
        <v>4794</v>
      </c>
      <c r="K479" s="831">
        <v>3</v>
      </c>
      <c r="L479" s="831">
        <v>5</v>
      </c>
      <c r="M479" s="831">
        <v>2</v>
      </c>
      <c r="N479" s="830" t="s">
        <v>4794</v>
      </c>
      <c r="O479" s="830" t="s">
        <v>4794</v>
      </c>
      <c r="P479" s="830" t="s">
        <v>4794</v>
      </c>
      <c r="Q479" s="832">
        <f t="shared" si="6"/>
        <v>15</v>
      </c>
      <c r="R479" s="833" t="s">
        <v>3714</v>
      </c>
      <c r="S479" s="834"/>
      <c r="T479" s="850"/>
      <c r="U479" s="850"/>
      <c r="V479" s="850"/>
      <c r="W479" s="850"/>
      <c r="X479" s="850"/>
      <c r="Y479" s="850"/>
      <c r="Z479" s="850"/>
      <c r="AA479" s="850"/>
      <c r="AB479" s="850"/>
      <c r="AC479" s="850"/>
      <c r="AD479" s="850"/>
      <c r="AE479" s="850"/>
      <c r="AF479" s="835"/>
    </row>
    <row r="480" spans="1:32">
      <c r="A480" s="827">
        <v>457</v>
      </c>
      <c r="B480" s="828" t="s">
        <v>100</v>
      </c>
      <c r="C480" s="828" t="s">
        <v>4286</v>
      </c>
      <c r="D480" s="829" t="s">
        <v>4287</v>
      </c>
      <c r="E480" s="830" t="s">
        <v>4794</v>
      </c>
      <c r="F480" s="830" t="s">
        <v>4794</v>
      </c>
      <c r="G480" s="831">
        <v>5</v>
      </c>
      <c r="H480" s="830" t="s">
        <v>4794</v>
      </c>
      <c r="I480" s="830" t="s">
        <v>4794</v>
      </c>
      <c r="J480" s="830" t="s">
        <v>4794</v>
      </c>
      <c r="K480" s="830" t="s">
        <v>4794</v>
      </c>
      <c r="L480" s="831">
        <v>5</v>
      </c>
      <c r="M480" s="830" t="s">
        <v>4794</v>
      </c>
      <c r="N480" s="830" t="s">
        <v>4794</v>
      </c>
      <c r="O480" s="830" t="s">
        <v>4794</v>
      </c>
      <c r="P480" s="830" t="s">
        <v>4794</v>
      </c>
      <c r="Q480" s="832">
        <f t="shared" si="6"/>
        <v>10</v>
      </c>
      <c r="R480" s="833" t="s">
        <v>3714</v>
      </c>
      <c r="S480" s="834"/>
      <c r="T480" s="853"/>
      <c r="U480" s="853"/>
      <c r="V480" s="853"/>
      <c r="W480" s="853"/>
      <c r="X480" s="867"/>
      <c r="Y480" s="867"/>
      <c r="Z480" s="867"/>
      <c r="AA480" s="867"/>
      <c r="AB480" s="867"/>
      <c r="AC480" s="867"/>
      <c r="AD480" s="867"/>
      <c r="AE480" s="867"/>
      <c r="AF480" s="835"/>
    </row>
    <row r="481" spans="1:32" ht="21">
      <c r="A481" s="827">
        <v>458</v>
      </c>
      <c r="B481" s="828" t="s">
        <v>100</v>
      </c>
      <c r="C481" s="828" t="s">
        <v>4288</v>
      </c>
      <c r="D481" s="829" t="s">
        <v>4289</v>
      </c>
      <c r="E481" s="830" t="s">
        <v>4794</v>
      </c>
      <c r="F481" s="830" t="s">
        <v>4794</v>
      </c>
      <c r="G481" s="831">
        <v>5</v>
      </c>
      <c r="H481" s="830" t="s">
        <v>4794</v>
      </c>
      <c r="I481" s="830" t="s">
        <v>4794</v>
      </c>
      <c r="J481" s="830" t="s">
        <v>4794</v>
      </c>
      <c r="K481" s="830" t="s">
        <v>4794</v>
      </c>
      <c r="L481" s="831">
        <v>5</v>
      </c>
      <c r="M481" s="830" t="s">
        <v>4794</v>
      </c>
      <c r="N481" s="830" t="s">
        <v>4794</v>
      </c>
      <c r="O481" s="830" t="s">
        <v>4794</v>
      </c>
      <c r="P481" s="830" t="s">
        <v>4794</v>
      </c>
      <c r="Q481" s="832">
        <f t="shared" si="6"/>
        <v>10</v>
      </c>
      <c r="R481" s="833" t="s">
        <v>3714</v>
      </c>
      <c r="S481" s="834"/>
      <c r="T481" s="850"/>
      <c r="U481" s="850"/>
      <c r="V481" s="850"/>
      <c r="W481" s="850"/>
      <c r="X481" s="850"/>
      <c r="Y481" s="850"/>
      <c r="Z481" s="850"/>
      <c r="AA481" s="850"/>
      <c r="AB481" s="850"/>
      <c r="AC481" s="850"/>
      <c r="AD481" s="850"/>
      <c r="AE481" s="850"/>
      <c r="AF481" s="835"/>
    </row>
    <row r="482" spans="1:32">
      <c r="A482" s="827">
        <v>459</v>
      </c>
      <c r="B482" s="828" t="s">
        <v>100</v>
      </c>
      <c r="C482" s="828" t="s">
        <v>4290</v>
      </c>
      <c r="D482" s="829" t="s">
        <v>4291</v>
      </c>
      <c r="E482" s="831">
        <v>2</v>
      </c>
      <c r="F482" s="830" t="s">
        <v>4794</v>
      </c>
      <c r="G482" s="831">
        <v>2</v>
      </c>
      <c r="H482" s="830" t="s">
        <v>4794</v>
      </c>
      <c r="I482" s="831">
        <v>2</v>
      </c>
      <c r="J482" s="830" t="s">
        <v>4794</v>
      </c>
      <c r="K482" s="830" t="s">
        <v>4794</v>
      </c>
      <c r="L482" s="831">
        <v>2</v>
      </c>
      <c r="M482" s="830" t="s">
        <v>4794</v>
      </c>
      <c r="N482" s="830" t="s">
        <v>4794</v>
      </c>
      <c r="O482" s="831">
        <v>2</v>
      </c>
      <c r="P482" s="830" t="s">
        <v>4794</v>
      </c>
      <c r="Q482" s="832">
        <f t="shared" si="6"/>
        <v>10</v>
      </c>
      <c r="R482" s="833" t="s">
        <v>3714</v>
      </c>
      <c r="S482" s="834"/>
      <c r="T482" s="850"/>
      <c r="U482" s="850"/>
      <c r="V482" s="850"/>
      <c r="W482" s="850"/>
      <c r="X482" s="850"/>
      <c r="Y482" s="850"/>
      <c r="Z482" s="850"/>
      <c r="AA482" s="850"/>
      <c r="AB482" s="850"/>
      <c r="AC482" s="850"/>
      <c r="AD482" s="850"/>
      <c r="AE482" s="850"/>
      <c r="AF482" s="835"/>
    </row>
    <row r="483" spans="1:32" ht="21">
      <c r="A483" s="827">
        <v>460</v>
      </c>
      <c r="B483" s="828" t="s">
        <v>100</v>
      </c>
      <c r="C483" s="828" t="s">
        <v>4292</v>
      </c>
      <c r="D483" s="829" t="s">
        <v>4293</v>
      </c>
      <c r="E483" s="830" t="s">
        <v>4794</v>
      </c>
      <c r="F483" s="830" t="s">
        <v>4794</v>
      </c>
      <c r="G483" s="830" t="s">
        <v>4794</v>
      </c>
      <c r="H483" s="831">
        <v>3</v>
      </c>
      <c r="I483" s="830" t="s">
        <v>4794</v>
      </c>
      <c r="J483" s="831">
        <v>2</v>
      </c>
      <c r="K483" s="830" t="s">
        <v>4794</v>
      </c>
      <c r="L483" s="831">
        <v>3</v>
      </c>
      <c r="M483" s="830" t="s">
        <v>4794</v>
      </c>
      <c r="N483" s="831">
        <v>2</v>
      </c>
      <c r="O483" s="830" t="s">
        <v>4794</v>
      </c>
      <c r="P483" s="830" t="s">
        <v>4794</v>
      </c>
      <c r="Q483" s="832">
        <f t="shared" si="6"/>
        <v>10</v>
      </c>
      <c r="R483" s="833" t="s">
        <v>3714</v>
      </c>
      <c r="S483" s="834"/>
      <c r="T483" s="850"/>
      <c r="U483" s="850"/>
      <c r="V483" s="850"/>
      <c r="W483" s="850"/>
      <c r="X483" s="850"/>
      <c r="Y483" s="850"/>
      <c r="Z483" s="850"/>
      <c r="AA483" s="850"/>
      <c r="AB483" s="850"/>
      <c r="AC483" s="850"/>
      <c r="AD483" s="850"/>
      <c r="AE483" s="850"/>
      <c r="AF483" s="835"/>
    </row>
    <row r="484" spans="1:32">
      <c r="A484" s="827">
        <v>461</v>
      </c>
      <c r="B484" s="828" t="s">
        <v>100</v>
      </c>
      <c r="C484" s="828" t="s">
        <v>4294</v>
      </c>
      <c r="D484" s="829" t="s">
        <v>4295</v>
      </c>
      <c r="E484" s="830" t="s">
        <v>4794</v>
      </c>
      <c r="F484" s="831">
        <v>2</v>
      </c>
      <c r="G484" s="830" t="s">
        <v>4794</v>
      </c>
      <c r="H484" s="830" t="s">
        <v>4794</v>
      </c>
      <c r="I484" s="830" t="s">
        <v>4794</v>
      </c>
      <c r="J484" s="831">
        <v>3</v>
      </c>
      <c r="K484" s="830" t="s">
        <v>4794</v>
      </c>
      <c r="L484" s="831">
        <v>5</v>
      </c>
      <c r="M484" s="830" t="s">
        <v>4794</v>
      </c>
      <c r="N484" s="830" t="s">
        <v>4794</v>
      </c>
      <c r="O484" s="830" t="s">
        <v>4794</v>
      </c>
      <c r="P484" s="830" t="s">
        <v>4794</v>
      </c>
      <c r="Q484" s="832">
        <f t="shared" si="6"/>
        <v>10</v>
      </c>
      <c r="R484" s="833" t="s">
        <v>3714</v>
      </c>
      <c r="S484" s="834"/>
      <c r="T484" s="853"/>
      <c r="U484" s="853"/>
      <c r="V484" s="853"/>
      <c r="W484" s="853"/>
      <c r="X484" s="867"/>
      <c r="Y484" s="867"/>
      <c r="Z484" s="867"/>
      <c r="AA484" s="867"/>
      <c r="AB484" s="867"/>
      <c r="AC484" s="867"/>
      <c r="AD484" s="867"/>
      <c r="AE484" s="867"/>
      <c r="AF484" s="835"/>
    </row>
    <row r="485" spans="1:32" ht="21">
      <c r="A485" s="827">
        <v>462</v>
      </c>
      <c r="B485" s="828" t="s">
        <v>100</v>
      </c>
      <c r="C485" s="828" t="s">
        <v>4296</v>
      </c>
      <c r="D485" s="829" t="s">
        <v>4297</v>
      </c>
      <c r="E485" s="830" t="s">
        <v>4794</v>
      </c>
      <c r="F485" s="830" t="s">
        <v>4794</v>
      </c>
      <c r="G485" s="831">
        <v>3</v>
      </c>
      <c r="H485" s="830" t="s">
        <v>4794</v>
      </c>
      <c r="I485" s="831">
        <v>2</v>
      </c>
      <c r="J485" s="830" t="s">
        <v>4794</v>
      </c>
      <c r="K485" s="831">
        <v>3</v>
      </c>
      <c r="L485" s="830" t="s">
        <v>4794</v>
      </c>
      <c r="M485" s="831">
        <v>2</v>
      </c>
      <c r="N485" s="830" t="s">
        <v>4794</v>
      </c>
      <c r="O485" s="830" t="s">
        <v>4794</v>
      </c>
      <c r="P485" s="830" t="s">
        <v>4794</v>
      </c>
      <c r="Q485" s="832">
        <f t="shared" si="6"/>
        <v>10</v>
      </c>
      <c r="R485" s="833" t="s">
        <v>3714</v>
      </c>
      <c r="S485" s="834"/>
      <c r="T485" s="853"/>
      <c r="U485" s="853"/>
      <c r="V485" s="853"/>
      <c r="W485" s="853"/>
      <c r="X485" s="867"/>
      <c r="Y485" s="867"/>
      <c r="Z485" s="867"/>
      <c r="AA485" s="867"/>
      <c r="AB485" s="867"/>
      <c r="AC485" s="867"/>
      <c r="AD485" s="867"/>
      <c r="AE485" s="867"/>
      <c r="AF485" s="835"/>
    </row>
    <row r="486" spans="1:32">
      <c r="A486" s="827">
        <v>463</v>
      </c>
      <c r="B486" s="828" t="s">
        <v>100</v>
      </c>
      <c r="C486" s="828" t="s">
        <v>4298</v>
      </c>
      <c r="D486" s="829" t="s">
        <v>4299</v>
      </c>
      <c r="E486" s="830" t="s">
        <v>4794</v>
      </c>
      <c r="F486" s="831">
        <v>4</v>
      </c>
      <c r="G486" s="830" t="s">
        <v>4794</v>
      </c>
      <c r="H486" s="831">
        <v>3</v>
      </c>
      <c r="I486" s="830" t="s">
        <v>4794</v>
      </c>
      <c r="J486" s="831">
        <v>3</v>
      </c>
      <c r="K486" s="830" t="s">
        <v>4794</v>
      </c>
      <c r="L486" s="830" t="s">
        <v>4794</v>
      </c>
      <c r="M486" s="830" t="s">
        <v>4794</v>
      </c>
      <c r="N486" s="830" t="s">
        <v>4794</v>
      </c>
      <c r="O486" s="830" t="s">
        <v>4794</v>
      </c>
      <c r="P486" s="830" t="s">
        <v>4794</v>
      </c>
      <c r="Q486" s="832">
        <f t="shared" si="6"/>
        <v>10</v>
      </c>
      <c r="R486" s="833" t="s">
        <v>3714</v>
      </c>
      <c r="S486" s="834"/>
      <c r="T486" s="853"/>
      <c r="U486" s="853"/>
      <c r="V486" s="853"/>
      <c r="W486" s="853"/>
      <c r="X486" s="867"/>
      <c r="Y486" s="867"/>
      <c r="Z486" s="867"/>
      <c r="AA486" s="867"/>
      <c r="AB486" s="867"/>
      <c r="AC486" s="867"/>
      <c r="AD486" s="867"/>
      <c r="AE486" s="867"/>
      <c r="AF486" s="835"/>
    </row>
    <row r="487" spans="1:32" ht="21">
      <c r="A487" s="827">
        <v>464</v>
      </c>
      <c r="B487" s="828" t="s">
        <v>100</v>
      </c>
      <c r="C487" s="828" t="s">
        <v>4300</v>
      </c>
      <c r="D487" s="829" t="s">
        <v>4453</v>
      </c>
      <c r="E487" s="830" t="s">
        <v>4794</v>
      </c>
      <c r="F487" s="830" t="s">
        <v>4794</v>
      </c>
      <c r="G487" s="830" t="s">
        <v>4794</v>
      </c>
      <c r="H487" s="831">
        <v>3</v>
      </c>
      <c r="I487" s="830" t="s">
        <v>4794</v>
      </c>
      <c r="J487" s="831">
        <v>3</v>
      </c>
      <c r="K487" s="830" t="s">
        <v>4794</v>
      </c>
      <c r="L487" s="831">
        <v>4</v>
      </c>
      <c r="M487" s="830" t="s">
        <v>4794</v>
      </c>
      <c r="N487" s="830" t="s">
        <v>4794</v>
      </c>
      <c r="O487" s="830" t="s">
        <v>4794</v>
      </c>
      <c r="P487" s="830" t="s">
        <v>4794</v>
      </c>
      <c r="Q487" s="832">
        <f t="shared" si="6"/>
        <v>10</v>
      </c>
      <c r="R487" s="833" t="s">
        <v>3714</v>
      </c>
      <c r="S487" s="834"/>
      <c r="T487" s="853"/>
      <c r="U487" s="853"/>
      <c r="V487" s="853"/>
      <c r="W487" s="853"/>
      <c r="X487" s="867"/>
      <c r="Y487" s="867"/>
      <c r="Z487" s="867"/>
      <c r="AA487" s="867"/>
      <c r="AB487" s="867"/>
      <c r="AC487" s="867"/>
      <c r="AD487" s="867"/>
      <c r="AE487" s="867"/>
      <c r="AF487" s="835"/>
    </row>
    <row r="488" spans="1:32">
      <c r="A488" s="827">
        <v>465</v>
      </c>
      <c r="B488" s="828" t="s">
        <v>100</v>
      </c>
      <c r="C488" s="828" t="s">
        <v>4454</v>
      </c>
      <c r="D488" s="829" t="s">
        <v>4455</v>
      </c>
      <c r="E488" s="830" t="s">
        <v>4794</v>
      </c>
      <c r="F488" s="830" t="s">
        <v>4794</v>
      </c>
      <c r="G488" s="831">
        <v>5</v>
      </c>
      <c r="H488" s="830" t="s">
        <v>4794</v>
      </c>
      <c r="I488" s="831">
        <v>5</v>
      </c>
      <c r="J488" s="830" t="s">
        <v>4794</v>
      </c>
      <c r="K488" s="830" t="s">
        <v>4794</v>
      </c>
      <c r="L488" s="831">
        <v>5</v>
      </c>
      <c r="M488" s="830" t="s">
        <v>4794</v>
      </c>
      <c r="N488" s="830" t="s">
        <v>4794</v>
      </c>
      <c r="O488" s="830" t="s">
        <v>4794</v>
      </c>
      <c r="P488" s="830" t="s">
        <v>4794</v>
      </c>
      <c r="Q488" s="832">
        <f t="shared" si="6"/>
        <v>15</v>
      </c>
      <c r="R488" s="833" t="s">
        <v>3714</v>
      </c>
      <c r="S488" s="834"/>
      <c r="T488" s="850"/>
      <c r="U488" s="850"/>
      <c r="V488" s="850"/>
      <c r="W488" s="850"/>
      <c r="X488" s="850"/>
      <c r="Y488" s="850"/>
      <c r="Z488" s="850"/>
      <c r="AA488" s="850"/>
      <c r="AB488" s="850"/>
      <c r="AC488" s="850"/>
      <c r="AD488" s="850"/>
      <c r="AE488" s="850"/>
      <c r="AF488" s="835"/>
    </row>
    <row r="489" spans="1:32" ht="21">
      <c r="A489" s="827">
        <v>466</v>
      </c>
      <c r="B489" s="828" t="s">
        <v>100</v>
      </c>
      <c r="C489" s="828" t="s">
        <v>4456</v>
      </c>
      <c r="D489" s="829" t="s">
        <v>4457</v>
      </c>
      <c r="E489" s="830" t="s">
        <v>4794</v>
      </c>
      <c r="F489" s="830" t="s">
        <v>4794</v>
      </c>
      <c r="G489" s="831">
        <v>5</v>
      </c>
      <c r="H489" s="830" t="s">
        <v>4794</v>
      </c>
      <c r="I489" s="831">
        <v>5</v>
      </c>
      <c r="J489" s="830" t="s">
        <v>4794</v>
      </c>
      <c r="K489" s="830" t="s">
        <v>4794</v>
      </c>
      <c r="L489" s="831">
        <v>5</v>
      </c>
      <c r="M489" s="830" t="s">
        <v>4794</v>
      </c>
      <c r="N489" s="830" t="s">
        <v>4794</v>
      </c>
      <c r="O489" s="830" t="s">
        <v>4794</v>
      </c>
      <c r="P489" s="830" t="s">
        <v>4794</v>
      </c>
      <c r="Q489" s="832">
        <f t="shared" si="6"/>
        <v>15</v>
      </c>
      <c r="R489" s="833" t="s">
        <v>3714</v>
      </c>
      <c r="S489" s="859"/>
      <c r="T489" s="859"/>
      <c r="U489" s="859"/>
      <c r="V489" s="859"/>
      <c r="W489" s="859"/>
      <c r="X489" s="859"/>
      <c r="Y489" s="859"/>
      <c r="Z489" s="859"/>
      <c r="AA489" s="859"/>
      <c r="AB489" s="859"/>
      <c r="AC489" s="859"/>
      <c r="AD489" s="859"/>
      <c r="AE489" s="859"/>
      <c r="AF489" s="859"/>
    </row>
    <row r="490" spans="1:32" ht="52.5">
      <c r="A490" s="827">
        <v>467</v>
      </c>
      <c r="B490" s="828" t="s">
        <v>100</v>
      </c>
      <c r="C490" s="828">
        <v>9106547</v>
      </c>
      <c r="D490" s="829" t="s">
        <v>4458</v>
      </c>
      <c r="E490" s="830"/>
      <c r="F490" s="830"/>
      <c r="G490" s="830"/>
      <c r="H490" s="831">
        <v>100</v>
      </c>
      <c r="I490" s="830"/>
      <c r="J490" s="830"/>
      <c r="K490" s="831">
        <v>100</v>
      </c>
      <c r="L490" s="830"/>
      <c r="M490" s="830"/>
      <c r="N490" s="830"/>
      <c r="O490" s="830"/>
      <c r="P490" s="830"/>
      <c r="Q490" s="832">
        <f t="shared" si="6"/>
        <v>200</v>
      </c>
      <c r="R490" s="833" t="s">
        <v>4025</v>
      </c>
      <c r="S490" s="836"/>
      <c r="T490" s="851"/>
      <c r="U490" s="851"/>
      <c r="V490" s="851"/>
      <c r="W490" s="851"/>
      <c r="X490" s="851"/>
      <c r="Y490" s="851"/>
      <c r="Z490" s="851"/>
      <c r="AA490" s="851"/>
      <c r="AB490" s="851"/>
      <c r="AC490" s="851"/>
      <c r="AD490" s="851"/>
      <c r="AE490" s="851"/>
      <c r="AF490" s="837"/>
    </row>
    <row r="491" spans="1:32" ht="52.5">
      <c r="A491" s="827">
        <v>468</v>
      </c>
      <c r="B491" s="828" t="s">
        <v>100</v>
      </c>
      <c r="C491" s="828">
        <v>9106548</v>
      </c>
      <c r="D491" s="829" t="s">
        <v>4459</v>
      </c>
      <c r="E491" s="830"/>
      <c r="F491" s="830"/>
      <c r="G491" s="830"/>
      <c r="H491" s="831">
        <v>100</v>
      </c>
      <c r="I491" s="830"/>
      <c r="J491" s="830"/>
      <c r="K491" s="831">
        <v>100</v>
      </c>
      <c r="L491" s="830"/>
      <c r="M491" s="830"/>
      <c r="N491" s="830"/>
      <c r="O491" s="830"/>
      <c r="P491" s="830"/>
      <c r="Q491" s="832">
        <f t="shared" si="6"/>
        <v>200</v>
      </c>
      <c r="R491" s="833" t="s">
        <v>4025</v>
      </c>
      <c r="S491" s="836"/>
      <c r="T491" s="852"/>
      <c r="U491" s="852"/>
      <c r="V491" s="852"/>
      <c r="W491" s="852"/>
      <c r="X491" s="852"/>
      <c r="Y491" s="852"/>
      <c r="Z491" s="852"/>
      <c r="AA491" s="852"/>
      <c r="AB491" s="852"/>
      <c r="AC491" s="852"/>
      <c r="AD491" s="852"/>
      <c r="AE491" s="852"/>
      <c r="AF491" s="837"/>
    </row>
    <row r="492" spans="1:32" ht="52.5">
      <c r="A492" s="827">
        <v>469</v>
      </c>
      <c r="B492" s="828" t="s">
        <v>100</v>
      </c>
      <c r="C492" s="828">
        <v>9106549</v>
      </c>
      <c r="D492" s="829" t="s">
        <v>4460</v>
      </c>
      <c r="E492" s="830"/>
      <c r="F492" s="830"/>
      <c r="G492" s="830"/>
      <c r="H492" s="831">
        <v>100</v>
      </c>
      <c r="I492" s="830"/>
      <c r="J492" s="830"/>
      <c r="K492" s="831">
        <v>100</v>
      </c>
      <c r="L492" s="830"/>
      <c r="M492" s="830"/>
      <c r="N492" s="830"/>
      <c r="O492" s="830"/>
      <c r="P492" s="830"/>
      <c r="Q492" s="832">
        <f t="shared" si="6"/>
        <v>200</v>
      </c>
      <c r="R492" s="833" t="s">
        <v>4025</v>
      </c>
      <c r="S492" s="836"/>
      <c r="T492" s="852"/>
      <c r="U492" s="852"/>
      <c r="V492" s="852"/>
      <c r="W492" s="852"/>
      <c r="X492" s="852"/>
      <c r="Y492" s="852"/>
      <c r="Z492" s="852"/>
      <c r="AA492" s="852"/>
      <c r="AB492" s="852"/>
      <c r="AC492" s="852"/>
      <c r="AD492" s="852"/>
      <c r="AE492" s="852"/>
      <c r="AF492" s="837"/>
    </row>
    <row r="493" spans="1:32" ht="21">
      <c r="A493" s="827">
        <v>470</v>
      </c>
      <c r="B493" s="828" t="s">
        <v>100</v>
      </c>
      <c r="C493" s="828" t="s">
        <v>4461</v>
      </c>
      <c r="D493" s="829" t="s">
        <v>4462</v>
      </c>
      <c r="E493" s="830"/>
      <c r="F493" s="830"/>
      <c r="G493" s="831">
        <v>10</v>
      </c>
      <c r="H493" s="831">
        <v>10</v>
      </c>
      <c r="I493" s="831">
        <v>10</v>
      </c>
      <c r="J493" s="831">
        <v>10</v>
      </c>
      <c r="K493" s="831">
        <v>10</v>
      </c>
      <c r="L493" s="831">
        <v>10</v>
      </c>
      <c r="M493" s="831">
        <v>10</v>
      </c>
      <c r="N493" s="830"/>
      <c r="O493" s="830"/>
      <c r="P493" s="830"/>
      <c r="Q493" s="832">
        <f t="shared" si="6"/>
        <v>70</v>
      </c>
      <c r="R493" s="833" t="s">
        <v>3714</v>
      </c>
      <c r="S493" s="836"/>
      <c r="T493" s="852"/>
      <c r="U493" s="852"/>
      <c r="V493" s="852"/>
      <c r="W493" s="852"/>
      <c r="X493" s="852"/>
      <c r="Y493" s="852"/>
      <c r="Z493" s="852"/>
      <c r="AA493" s="852"/>
      <c r="AB493" s="852"/>
      <c r="AC493" s="852"/>
      <c r="AD493" s="852"/>
      <c r="AE493" s="852"/>
      <c r="AF493" s="837"/>
    </row>
    <row r="494" spans="1:32" ht="21">
      <c r="A494" s="827">
        <v>471</v>
      </c>
      <c r="B494" s="828" t="s">
        <v>100</v>
      </c>
      <c r="C494" s="828" t="s">
        <v>4463</v>
      </c>
      <c r="D494" s="829" t="s">
        <v>4464</v>
      </c>
      <c r="E494" s="830"/>
      <c r="F494" s="831">
        <v>10</v>
      </c>
      <c r="G494" s="830"/>
      <c r="H494" s="831">
        <v>10</v>
      </c>
      <c r="I494" s="831">
        <v>10</v>
      </c>
      <c r="J494" s="830"/>
      <c r="K494" s="831">
        <v>10</v>
      </c>
      <c r="L494" s="831">
        <v>10</v>
      </c>
      <c r="M494" s="831">
        <v>10</v>
      </c>
      <c r="N494" s="830"/>
      <c r="O494" s="831">
        <v>10</v>
      </c>
      <c r="P494" s="830"/>
      <c r="Q494" s="832">
        <f t="shared" si="6"/>
        <v>70</v>
      </c>
      <c r="R494" s="833" t="s">
        <v>3714</v>
      </c>
      <c r="S494" s="836"/>
      <c r="T494" s="851"/>
      <c r="U494" s="851"/>
      <c r="V494" s="851"/>
      <c r="W494" s="851"/>
      <c r="X494" s="851"/>
      <c r="Y494" s="851"/>
      <c r="Z494" s="851"/>
      <c r="AA494" s="851"/>
      <c r="AB494" s="851"/>
      <c r="AC494" s="851"/>
      <c r="AD494" s="851"/>
      <c r="AE494" s="851"/>
      <c r="AF494" s="837"/>
    </row>
    <row r="495" spans="1:32" ht="21">
      <c r="A495" s="827">
        <v>472</v>
      </c>
      <c r="B495" s="828" t="s">
        <v>100</v>
      </c>
      <c r="C495" s="828" t="s">
        <v>4465</v>
      </c>
      <c r="D495" s="829" t="s">
        <v>4466</v>
      </c>
      <c r="E495" s="830"/>
      <c r="F495" s="831">
        <v>4</v>
      </c>
      <c r="G495" s="831">
        <v>4</v>
      </c>
      <c r="H495" s="831">
        <v>4</v>
      </c>
      <c r="I495" s="830"/>
      <c r="J495" s="830"/>
      <c r="K495" s="830"/>
      <c r="L495" s="831">
        <v>4</v>
      </c>
      <c r="M495" s="830"/>
      <c r="N495" s="831">
        <v>4</v>
      </c>
      <c r="O495" s="831">
        <v>4</v>
      </c>
      <c r="P495" s="830"/>
      <c r="Q495" s="832">
        <f t="shared" ref="Q495:Q565" si="7">SUM(E495:P495)</f>
        <v>24</v>
      </c>
      <c r="R495" s="833" t="s">
        <v>3714</v>
      </c>
      <c r="S495" s="836"/>
      <c r="T495" s="851"/>
      <c r="U495" s="851"/>
      <c r="V495" s="851"/>
      <c r="W495" s="851"/>
      <c r="X495" s="851"/>
      <c r="Y495" s="851"/>
      <c r="Z495" s="851"/>
      <c r="AA495" s="851"/>
      <c r="AB495" s="851"/>
      <c r="AC495" s="851"/>
      <c r="AD495" s="851"/>
      <c r="AE495" s="851"/>
      <c r="AF495" s="837"/>
    </row>
    <row r="496" spans="1:32" ht="31.5">
      <c r="A496" s="827">
        <v>473</v>
      </c>
      <c r="B496" s="828" t="s">
        <v>100</v>
      </c>
      <c r="C496" s="828" t="s">
        <v>4467</v>
      </c>
      <c r="D496" s="829" t="s">
        <v>4468</v>
      </c>
      <c r="E496" s="830" t="s">
        <v>4794</v>
      </c>
      <c r="F496" s="831">
        <v>10</v>
      </c>
      <c r="G496" s="830" t="s">
        <v>4794</v>
      </c>
      <c r="H496" s="831">
        <v>10</v>
      </c>
      <c r="I496" s="830" t="s">
        <v>4794</v>
      </c>
      <c r="J496" s="830" t="s">
        <v>4794</v>
      </c>
      <c r="K496" s="831">
        <v>10</v>
      </c>
      <c r="L496" s="830" t="s">
        <v>4794</v>
      </c>
      <c r="M496" s="830" t="s">
        <v>4794</v>
      </c>
      <c r="N496" s="831">
        <v>10</v>
      </c>
      <c r="O496" s="830" t="s">
        <v>4794</v>
      </c>
      <c r="P496" s="830" t="s">
        <v>4794</v>
      </c>
      <c r="Q496" s="832">
        <f t="shared" si="7"/>
        <v>40</v>
      </c>
      <c r="R496" s="833" t="s">
        <v>4025</v>
      </c>
      <c r="S496" s="836"/>
      <c r="T496" s="837"/>
      <c r="U496" s="837"/>
      <c r="V496" s="837"/>
      <c r="W496" s="837"/>
      <c r="X496" s="837"/>
      <c r="Y496" s="837"/>
      <c r="Z496" s="837"/>
      <c r="AA496" s="837"/>
      <c r="AB496" s="837"/>
      <c r="AC496" s="837"/>
      <c r="AD496" s="837"/>
      <c r="AE496" s="837"/>
      <c r="AF496" s="837"/>
    </row>
    <row r="497" spans="1:32" ht="31.5">
      <c r="A497" s="827">
        <v>474</v>
      </c>
      <c r="B497" s="828" t="s">
        <v>100</v>
      </c>
      <c r="C497" s="828" t="s">
        <v>4469</v>
      </c>
      <c r="D497" s="829" t="s">
        <v>4470</v>
      </c>
      <c r="E497" s="830" t="s">
        <v>4794</v>
      </c>
      <c r="F497" s="831">
        <v>10</v>
      </c>
      <c r="G497" s="830" t="s">
        <v>4794</v>
      </c>
      <c r="H497" s="831">
        <v>10</v>
      </c>
      <c r="I497" s="830" t="s">
        <v>4794</v>
      </c>
      <c r="J497" s="831">
        <v>20</v>
      </c>
      <c r="K497" s="831">
        <v>10</v>
      </c>
      <c r="L497" s="830" t="s">
        <v>4794</v>
      </c>
      <c r="M497" s="831">
        <v>20</v>
      </c>
      <c r="N497" s="830" t="s">
        <v>4794</v>
      </c>
      <c r="O497" s="831">
        <v>30</v>
      </c>
      <c r="P497" s="831">
        <v>20</v>
      </c>
      <c r="Q497" s="832">
        <f t="shared" si="7"/>
        <v>120</v>
      </c>
      <c r="R497" s="833" t="s">
        <v>4025</v>
      </c>
      <c r="S497" s="836"/>
      <c r="T497" s="851"/>
      <c r="U497" s="851"/>
      <c r="V497" s="851"/>
      <c r="W497" s="851"/>
      <c r="X497" s="851"/>
      <c r="Y497" s="851"/>
      <c r="Z497" s="851"/>
      <c r="AA497" s="851"/>
      <c r="AB497" s="851"/>
      <c r="AC497" s="851"/>
      <c r="AD497" s="851"/>
      <c r="AE497" s="851"/>
      <c r="AF497" s="837"/>
    </row>
    <row r="498" spans="1:32" ht="31.5">
      <c r="A498" s="827">
        <v>475</v>
      </c>
      <c r="B498" s="828" t="s">
        <v>100</v>
      </c>
      <c r="C498" s="828" t="s">
        <v>4471</v>
      </c>
      <c r="D498" s="829" t="s">
        <v>4472</v>
      </c>
      <c r="E498" s="830" t="s">
        <v>4794</v>
      </c>
      <c r="F498" s="831">
        <v>10</v>
      </c>
      <c r="G498" s="830" t="s">
        <v>4794</v>
      </c>
      <c r="H498" s="831">
        <v>10</v>
      </c>
      <c r="I498" s="831">
        <v>20</v>
      </c>
      <c r="J498" s="830" t="s">
        <v>4794</v>
      </c>
      <c r="K498" s="831">
        <v>10</v>
      </c>
      <c r="L498" s="830" t="s">
        <v>4794</v>
      </c>
      <c r="M498" s="831">
        <v>20</v>
      </c>
      <c r="N498" s="830" t="s">
        <v>4794</v>
      </c>
      <c r="O498" s="831">
        <v>30</v>
      </c>
      <c r="P498" s="830" t="s">
        <v>4794</v>
      </c>
      <c r="Q498" s="832">
        <f t="shared" si="7"/>
        <v>100</v>
      </c>
      <c r="R498" s="833" t="s">
        <v>4025</v>
      </c>
      <c r="S498" s="836"/>
      <c r="T498" s="851"/>
      <c r="U498" s="851"/>
      <c r="V498" s="851"/>
      <c r="W498" s="851"/>
      <c r="X498" s="851"/>
      <c r="Y498" s="851"/>
      <c r="Z498" s="851"/>
      <c r="AA498" s="851"/>
      <c r="AB498" s="851"/>
      <c r="AC498" s="851"/>
      <c r="AD498" s="851"/>
      <c r="AE498" s="851"/>
      <c r="AF498" s="837"/>
    </row>
    <row r="499" spans="1:32" ht="31.5">
      <c r="A499" s="827">
        <v>476</v>
      </c>
      <c r="B499" s="828" t="s">
        <v>100</v>
      </c>
      <c r="C499" s="828" t="s">
        <v>4473</v>
      </c>
      <c r="D499" s="829" t="s">
        <v>4474</v>
      </c>
      <c r="E499" s="830" t="s">
        <v>4794</v>
      </c>
      <c r="F499" s="831">
        <v>10</v>
      </c>
      <c r="G499" s="831">
        <v>20</v>
      </c>
      <c r="H499" s="831">
        <v>10</v>
      </c>
      <c r="I499" s="830" t="s">
        <v>4794</v>
      </c>
      <c r="J499" s="830" t="s">
        <v>4794</v>
      </c>
      <c r="K499" s="831">
        <v>10</v>
      </c>
      <c r="L499" s="831">
        <v>20</v>
      </c>
      <c r="M499" s="830" t="s">
        <v>4794</v>
      </c>
      <c r="N499" s="830" t="s">
        <v>4794</v>
      </c>
      <c r="O499" s="830" t="s">
        <v>4794</v>
      </c>
      <c r="P499" s="830" t="s">
        <v>4794</v>
      </c>
      <c r="Q499" s="832">
        <f t="shared" si="7"/>
        <v>70</v>
      </c>
      <c r="R499" s="833" t="s">
        <v>4025</v>
      </c>
      <c r="S499" s="836"/>
      <c r="T499" s="837"/>
      <c r="U499" s="837"/>
      <c r="V499" s="837"/>
      <c r="W499" s="837"/>
      <c r="X499" s="837"/>
      <c r="Y499" s="837"/>
      <c r="Z499" s="837"/>
      <c r="AA499" s="837"/>
      <c r="AB499" s="837"/>
      <c r="AC499" s="837"/>
      <c r="AD499" s="837"/>
      <c r="AE499" s="837"/>
      <c r="AF499" s="837"/>
    </row>
    <row r="500" spans="1:32" ht="31.5">
      <c r="A500" s="827">
        <v>477</v>
      </c>
      <c r="B500" s="828" t="s">
        <v>100</v>
      </c>
      <c r="C500" s="828" t="s">
        <v>4475</v>
      </c>
      <c r="D500" s="829" t="s">
        <v>4476</v>
      </c>
      <c r="E500" s="830" t="s">
        <v>4794</v>
      </c>
      <c r="F500" s="831">
        <v>10</v>
      </c>
      <c r="G500" s="830" t="s">
        <v>4794</v>
      </c>
      <c r="H500" s="831">
        <v>10</v>
      </c>
      <c r="I500" s="830" t="s">
        <v>4794</v>
      </c>
      <c r="J500" s="830" t="s">
        <v>4794</v>
      </c>
      <c r="K500" s="831">
        <v>10</v>
      </c>
      <c r="L500" s="830" t="s">
        <v>4794</v>
      </c>
      <c r="M500" s="831">
        <v>10</v>
      </c>
      <c r="N500" s="830" t="s">
        <v>4794</v>
      </c>
      <c r="O500" s="830" t="s">
        <v>4794</v>
      </c>
      <c r="P500" s="830" t="s">
        <v>4794</v>
      </c>
      <c r="Q500" s="832">
        <f t="shared" si="7"/>
        <v>40</v>
      </c>
      <c r="R500" s="833" t="s">
        <v>4025</v>
      </c>
      <c r="S500" s="836"/>
      <c r="T500" s="851"/>
      <c r="U500" s="851"/>
      <c r="V500" s="851"/>
      <c r="W500" s="851"/>
      <c r="X500" s="851"/>
      <c r="Y500" s="851"/>
      <c r="Z500" s="851"/>
      <c r="AA500" s="851"/>
      <c r="AB500" s="851"/>
      <c r="AC500" s="851"/>
      <c r="AD500" s="851"/>
      <c r="AE500" s="851"/>
      <c r="AF500" s="837"/>
    </row>
    <row r="501" spans="1:32" ht="42.75">
      <c r="A501" s="827">
        <v>478</v>
      </c>
      <c r="B501" s="828" t="s">
        <v>100</v>
      </c>
      <c r="C501" s="863">
        <v>9106586</v>
      </c>
      <c r="D501" s="863" t="s">
        <v>4477</v>
      </c>
      <c r="E501" s="868"/>
      <c r="F501" s="868"/>
      <c r="G501" s="869">
        <v>2</v>
      </c>
      <c r="H501" s="868"/>
      <c r="I501" s="869">
        <v>2</v>
      </c>
      <c r="J501" s="868"/>
      <c r="K501" s="869">
        <v>6</v>
      </c>
      <c r="L501" s="868"/>
      <c r="M501" s="868"/>
      <c r="N501" s="868"/>
      <c r="O501" s="868"/>
      <c r="P501" s="868"/>
      <c r="Q501" s="832">
        <f>SUM(E501:P501)</f>
        <v>10</v>
      </c>
      <c r="R501" s="833" t="s">
        <v>4025</v>
      </c>
      <c r="S501" s="836"/>
      <c r="T501" s="851"/>
      <c r="U501" s="851"/>
      <c r="V501" s="851"/>
      <c r="W501" s="851"/>
      <c r="X501" s="851"/>
      <c r="Y501" s="851"/>
      <c r="Z501" s="851"/>
      <c r="AA501" s="851"/>
      <c r="AB501" s="851"/>
      <c r="AC501" s="851"/>
      <c r="AD501" s="851"/>
      <c r="AE501" s="851"/>
      <c r="AF501" s="837"/>
    </row>
    <row r="502" spans="1:32" ht="42.75">
      <c r="A502" s="827">
        <v>479</v>
      </c>
      <c r="B502" s="828" t="s">
        <v>100</v>
      </c>
      <c r="C502" s="863">
        <v>9004062</v>
      </c>
      <c r="D502" s="863" t="s">
        <v>4028</v>
      </c>
      <c r="E502" s="868"/>
      <c r="F502" s="868"/>
      <c r="G502" s="869">
        <v>2</v>
      </c>
      <c r="H502" s="868"/>
      <c r="I502" s="869">
        <v>2</v>
      </c>
      <c r="J502" s="868"/>
      <c r="K502" s="869">
        <v>6</v>
      </c>
      <c r="L502" s="868"/>
      <c r="M502" s="868"/>
      <c r="N502" s="868"/>
      <c r="O502" s="868"/>
      <c r="P502" s="868"/>
      <c r="Q502" s="832">
        <f>SUM(E502:P502)</f>
        <v>10</v>
      </c>
      <c r="R502" s="833" t="s">
        <v>4025</v>
      </c>
      <c r="S502" s="836"/>
      <c r="T502" s="851"/>
      <c r="U502" s="851"/>
      <c r="V502" s="851"/>
      <c r="W502" s="851"/>
      <c r="X502" s="851"/>
      <c r="Y502" s="851"/>
      <c r="Z502" s="851"/>
      <c r="AA502" s="851"/>
      <c r="AB502" s="851"/>
      <c r="AC502" s="851"/>
      <c r="AD502" s="851"/>
      <c r="AE502" s="851"/>
      <c r="AF502" s="837"/>
    </row>
    <row r="503" spans="1:32" ht="42.75">
      <c r="A503" s="827">
        <v>480</v>
      </c>
      <c r="B503" s="828" t="s">
        <v>100</v>
      </c>
      <c r="C503" s="863">
        <v>9103085</v>
      </c>
      <c r="D503" s="863" t="s">
        <v>4478</v>
      </c>
      <c r="E503" s="868"/>
      <c r="F503" s="868"/>
      <c r="G503" s="869">
        <v>2</v>
      </c>
      <c r="H503" s="868"/>
      <c r="I503" s="869">
        <v>2</v>
      </c>
      <c r="J503" s="868"/>
      <c r="K503" s="869">
        <v>6</v>
      </c>
      <c r="L503" s="868"/>
      <c r="M503" s="868"/>
      <c r="N503" s="868"/>
      <c r="O503" s="868"/>
      <c r="P503" s="868"/>
      <c r="Q503" s="832">
        <f>SUM(E503:P503)</f>
        <v>10</v>
      </c>
      <c r="R503" s="833" t="s">
        <v>4025</v>
      </c>
      <c r="S503" s="836"/>
      <c r="T503" s="851"/>
      <c r="U503" s="851"/>
      <c r="V503" s="851"/>
      <c r="W503" s="851"/>
      <c r="X503" s="851"/>
      <c r="Y503" s="851"/>
      <c r="Z503" s="851"/>
      <c r="AA503" s="851"/>
      <c r="AB503" s="851"/>
      <c r="AC503" s="851"/>
      <c r="AD503" s="851"/>
      <c r="AE503" s="851"/>
      <c r="AF503" s="837"/>
    </row>
    <row r="504" spans="1:32" ht="42.75">
      <c r="A504" s="827">
        <v>481</v>
      </c>
      <c r="B504" s="828" t="s">
        <v>100</v>
      </c>
      <c r="C504" s="863">
        <v>6901892</v>
      </c>
      <c r="D504" s="863" t="s">
        <v>4031</v>
      </c>
      <c r="E504" s="868"/>
      <c r="F504" s="868"/>
      <c r="G504" s="869">
        <v>2</v>
      </c>
      <c r="H504" s="868"/>
      <c r="I504" s="869">
        <v>2</v>
      </c>
      <c r="J504" s="868"/>
      <c r="K504" s="869">
        <v>6</v>
      </c>
      <c r="L504" s="868"/>
      <c r="M504" s="868"/>
      <c r="N504" s="868"/>
      <c r="O504" s="868"/>
      <c r="P504" s="868"/>
      <c r="Q504" s="832">
        <f>SUM(E504:P504)</f>
        <v>10</v>
      </c>
      <c r="R504" s="833" t="s">
        <v>4025</v>
      </c>
      <c r="S504" s="836"/>
      <c r="T504" s="851"/>
      <c r="U504" s="851"/>
      <c r="V504" s="851"/>
      <c r="W504" s="851"/>
      <c r="X504" s="851"/>
      <c r="Y504" s="851"/>
      <c r="Z504" s="851"/>
      <c r="AA504" s="851"/>
      <c r="AB504" s="851"/>
      <c r="AC504" s="851"/>
      <c r="AD504" s="851"/>
      <c r="AE504" s="851"/>
      <c r="AF504" s="837"/>
    </row>
    <row r="505" spans="1:32" ht="42.75" thickBot="1">
      <c r="A505" s="838">
        <v>482</v>
      </c>
      <c r="B505" s="839" t="s">
        <v>100</v>
      </c>
      <c r="C505" s="839" t="s">
        <v>4479</v>
      </c>
      <c r="D505" s="840" t="s">
        <v>4480</v>
      </c>
      <c r="E505" s="841" t="s">
        <v>4794</v>
      </c>
      <c r="F505" s="842">
        <v>10</v>
      </c>
      <c r="G505" s="841" t="s">
        <v>4794</v>
      </c>
      <c r="H505" s="842">
        <v>10</v>
      </c>
      <c r="I505" s="841" t="s">
        <v>4794</v>
      </c>
      <c r="J505" s="841" t="s">
        <v>4794</v>
      </c>
      <c r="K505" s="842">
        <v>10</v>
      </c>
      <c r="L505" s="842">
        <v>30</v>
      </c>
      <c r="M505" s="841" t="s">
        <v>4794</v>
      </c>
      <c r="N505" s="841" t="s">
        <v>4794</v>
      </c>
      <c r="O505" s="841" t="s">
        <v>4794</v>
      </c>
      <c r="P505" s="841" t="s">
        <v>4794</v>
      </c>
      <c r="Q505" s="843">
        <f t="shared" si="7"/>
        <v>60</v>
      </c>
      <c r="R505" s="844" t="s">
        <v>4025</v>
      </c>
      <c r="S505" s="836"/>
      <c r="T505" s="851"/>
      <c r="U505" s="851"/>
      <c r="V505" s="851"/>
      <c r="W505" s="851"/>
      <c r="X505" s="851"/>
      <c r="Y505" s="851"/>
      <c r="Z505" s="851"/>
      <c r="AA505" s="851"/>
      <c r="AB505" s="851"/>
      <c r="AC505" s="851"/>
      <c r="AD505" s="851"/>
      <c r="AE505" s="851"/>
      <c r="AF505" s="837"/>
    </row>
    <row r="506" spans="1:32" ht="21.75" thickBot="1">
      <c r="A506" s="845"/>
      <c r="B506" s="846"/>
      <c r="C506" s="846"/>
      <c r="D506" s="847" t="s">
        <v>4020</v>
      </c>
      <c r="E506" s="848"/>
      <c r="F506" s="848"/>
      <c r="G506" s="848"/>
      <c r="H506" s="848"/>
      <c r="I506" s="848"/>
      <c r="J506" s="848"/>
      <c r="K506" s="848"/>
      <c r="L506" s="848"/>
      <c r="M506" s="848"/>
      <c r="N506" s="848"/>
      <c r="O506" s="848"/>
      <c r="P506" s="848"/>
      <c r="Q506" s="849">
        <f t="shared" si="7"/>
        <v>0</v>
      </c>
      <c r="R506" s="845"/>
      <c r="S506" s="836"/>
      <c r="T506" s="851"/>
      <c r="U506" s="851"/>
      <c r="V506" s="851"/>
      <c r="W506" s="851"/>
      <c r="X506" s="851"/>
      <c r="Y506" s="851"/>
      <c r="Z506" s="851"/>
      <c r="AA506" s="851"/>
      <c r="AB506" s="851"/>
      <c r="AC506" s="851"/>
      <c r="AD506" s="851"/>
      <c r="AE506" s="851"/>
      <c r="AF506" s="837"/>
    </row>
    <row r="507" spans="1:32" ht="21">
      <c r="A507" s="818">
        <v>483</v>
      </c>
      <c r="B507" s="819" t="s">
        <v>4481</v>
      </c>
      <c r="C507" s="819" t="s">
        <v>4482</v>
      </c>
      <c r="D507" s="820" t="s">
        <v>4483</v>
      </c>
      <c r="E507" s="821" t="s">
        <v>4794</v>
      </c>
      <c r="F507" s="821" t="s">
        <v>4794</v>
      </c>
      <c r="G507" s="821" t="s">
        <v>4794</v>
      </c>
      <c r="H507" s="822">
        <v>1</v>
      </c>
      <c r="I507" s="821" t="s">
        <v>4794</v>
      </c>
      <c r="J507" s="821" t="s">
        <v>4794</v>
      </c>
      <c r="K507" s="821" t="s">
        <v>4794</v>
      </c>
      <c r="L507" s="822">
        <v>1</v>
      </c>
      <c r="M507" s="821" t="s">
        <v>4794</v>
      </c>
      <c r="N507" s="821" t="s">
        <v>4794</v>
      </c>
      <c r="O507" s="821" t="s">
        <v>4794</v>
      </c>
      <c r="P507" s="821" t="s">
        <v>4794</v>
      </c>
      <c r="Q507" s="823">
        <f t="shared" si="7"/>
        <v>2</v>
      </c>
      <c r="R507" s="824" t="s">
        <v>3714</v>
      </c>
      <c r="S507" s="836"/>
      <c r="T507" s="851"/>
      <c r="U507" s="851"/>
      <c r="V507" s="851"/>
      <c r="W507" s="851"/>
      <c r="X507" s="851"/>
      <c r="Y507" s="851"/>
      <c r="Z507" s="870"/>
      <c r="AA507" s="851"/>
      <c r="AB507" s="851"/>
      <c r="AC507" s="851"/>
      <c r="AD507" s="851"/>
      <c r="AE507" s="851"/>
      <c r="AF507" s="837"/>
    </row>
    <row r="508" spans="1:32" ht="31.5">
      <c r="A508" s="827">
        <v>484</v>
      </c>
      <c r="B508" s="828" t="s">
        <v>4481</v>
      </c>
      <c r="C508" s="828" t="s">
        <v>4484</v>
      </c>
      <c r="D508" s="829" t="s">
        <v>4485</v>
      </c>
      <c r="E508" s="830" t="s">
        <v>4794</v>
      </c>
      <c r="F508" s="830" t="s">
        <v>4794</v>
      </c>
      <c r="G508" s="830" t="s">
        <v>4794</v>
      </c>
      <c r="H508" s="830" t="s">
        <v>4794</v>
      </c>
      <c r="I508" s="831">
        <v>10</v>
      </c>
      <c r="J508" s="831">
        <v>10</v>
      </c>
      <c r="K508" s="831">
        <v>10</v>
      </c>
      <c r="L508" s="830" t="s">
        <v>4794</v>
      </c>
      <c r="M508" s="831">
        <v>10</v>
      </c>
      <c r="N508" s="831">
        <v>10</v>
      </c>
      <c r="O508" s="830" t="s">
        <v>4794</v>
      </c>
      <c r="P508" s="830" t="s">
        <v>4794</v>
      </c>
      <c r="Q508" s="832">
        <f t="shared" si="7"/>
        <v>50</v>
      </c>
      <c r="R508" s="833" t="s">
        <v>3714</v>
      </c>
      <c r="S508" s="836"/>
      <c r="T508" s="851"/>
      <c r="U508" s="851"/>
      <c r="V508" s="851"/>
      <c r="W508" s="851"/>
      <c r="X508" s="851"/>
      <c r="Y508" s="851"/>
      <c r="Z508" s="851"/>
      <c r="AA508" s="851"/>
      <c r="AB508" s="851"/>
      <c r="AC508" s="851"/>
      <c r="AD508" s="851"/>
      <c r="AE508" s="851"/>
      <c r="AF508" s="837"/>
    </row>
    <row r="509" spans="1:32" ht="42">
      <c r="A509" s="827">
        <v>485</v>
      </c>
      <c r="B509" s="828" t="s">
        <v>4481</v>
      </c>
      <c r="C509" s="828" t="s">
        <v>4486</v>
      </c>
      <c r="D509" s="829" t="s">
        <v>4487</v>
      </c>
      <c r="E509" s="830" t="s">
        <v>4794</v>
      </c>
      <c r="F509" s="830" t="s">
        <v>4794</v>
      </c>
      <c r="G509" s="830" t="s">
        <v>4794</v>
      </c>
      <c r="H509" s="830" t="s">
        <v>4794</v>
      </c>
      <c r="I509" s="831">
        <v>20</v>
      </c>
      <c r="J509" s="830" t="s">
        <v>4794</v>
      </c>
      <c r="K509" s="830" t="s">
        <v>4794</v>
      </c>
      <c r="L509" s="830" t="s">
        <v>4794</v>
      </c>
      <c r="M509" s="830" t="s">
        <v>4794</v>
      </c>
      <c r="N509" s="830" t="s">
        <v>4794</v>
      </c>
      <c r="O509" s="830" t="s">
        <v>4794</v>
      </c>
      <c r="P509" s="830" t="s">
        <v>4794</v>
      </c>
      <c r="Q509" s="832">
        <f t="shared" si="7"/>
        <v>20</v>
      </c>
      <c r="R509" s="833" t="s">
        <v>3714</v>
      </c>
      <c r="S509" s="836"/>
      <c r="T509" s="851"/>
      <c r="U509" s="851"/>
      <c r="V509" s="851"/>
      <c r="W509" s="851"/>
      <c r="X509" s="851"/>
      <c r="Y509" s="851"/>
      <c r="Z509" s="851"/>
      <c r="AA509" s="851"/>
      <c r="AB509" s="851"/>
      <c r="AC509" s="851"/>
      <c r="AD509" s="851"/>
      <c r="AE509" s="851"/>
      <c r="AF509" s="837"/>
    </row>
    <row r="510" spans="1:32" ht="21.75" thickBot="1">
      <c r="A510" s="838">
        <v>486</v>
      </c>
      <c r="B510" s="839" t="s">
        <v>4481</v>
      </c>
      <c r="C510" s="839" t="s">
        <v>4488</v>
      </c>
      <c r="D510" s="840" t="s">
        <v>4489</v>
      </c>
      <c r="E510" s="841" t="s">
        <v>4794</v>
      </c>
      <c r="F510" s="841" t="s">
        <v>4794</v>
      </c>
      <c r="G510" s="841" t="s">
        <v>4794</v>
      </c>
      <c r="H510" s="842">
        <v>20</v>
      </c>
      <c r="I510" s="841" t="s">
        <v>4794</v>
      </c>
      <c r="J510" s="841" t="s">
        <v>4794</v>
      </c>
      <c r="K510" s="841" t="s">
        <v>4794</v>
      </c>
      <c r="L510" s="841" t="s">
        <v>4794</v>
      </c>
      <c r="M510" s="841" t="s">
        <v>4794</v>
      </c>
      <c r="N510" s="841" t="s">
        <v>4794</v>
      </c>
      <c r="O510" s="841" t="s">
        <v>4794</v>
      </c>
      <c r="P510" s="841" t="s">
        <v>4794</v>
      </c>
      <c r="Q510" s="843">
        <f t="shared" si="7"/>
        <v>20</v>
      </c>
      <c r="R510" s="844" t="s">
        <v>3714</v>
      </c>
      <c r="S510" s="836"/>
      <c r="T510" s="851"/>
      <c r="U510" s="851"/>
      <c r="V510" s="851"/>
      <c r="W510" s="851"/>
      <c r="X510" s="851"/>
      <c r="Y510" s="851"/>
      <c r="Z510" s="851"/>
      <c r="AA510" s="851"/>
      <c r="AB510" s="851"/>
      <c r="AC510" s="851"/>
      <c r="AD510" s="851"/>
      <c r="AE510" s="851"/>
      <c r="AF510" s="837"/>
    </row>
    <row r="511" spans="1:32" ht="21.75" thickBot="1">
      <c r="A511" s="860"/>
      <c r="B511" s="846"/>
      <c r="C511" s="846"/>
      <c r="D511" s="847" t="s">
        <v>4020</v>
      </c>
      <c r="E511" s="848"/>
      <c r="F511" s="848"/>
      <c r="G511" s="848"/>
      <c r="H511" s="848"/>
      <c r="I511" s="848"/>
      <c r="J511" s="848"/>
      <c r="K511" s="848"/>
      <c r="L511" s="848"/>
      <c r="M511" s="848"/>
      <c r="N511" s="848"/>
      <c r="O511" s="848"/>
      <c r="P511" s="848"/>
      <c r="Q511" s="849">
        <f t="shared" si="7"/>
        <v>0</v>
      </c>
      <c r="R511" s="845"/>
      <c r="S511" s="836"/>
      <c r="T511" s="837"/>
      <c r="U511" s="837"/>
      <c r="V511" s="837"/>
      <c r="W511" s="837"/>
      <c r="X511" s="837"/>
      <c r="Y511" s="837"/>
      <c r="Z511" s="837"/>
      <c r="AA511" s="837"/>
      <c r="AB511" s="837"/>
      <c r="AC511" s="837"/>
      <c r="AD511" s="837"/>
      <c r="AE511" s="837"/>
      <c r="AF511" s="837"/>
    </row>
    <row r="512" spans="1:32" ht="52.5">
      <c r="A512" s="818">
        <v>487</v>
      </c>
      <c r="B512" s="819" t="s">
        <v>4490</v>
      </c>
      <c r="C512" s="819" t="s">
        <v>4491</v>
      </c>
      <c r="D512" s="820" t="s">
        <v>4492</v>
      </c>
      <c r="E512" s="821"/>
      <c r="F512" s="821" t="s">
        <v>4794</v>
      </c>
      <c r="G512" s="822">
        <v>1</v>
      </c>
      <c r="H512" s="821" t="s">
        <v>4794</v>
      </c>
      <c r="I512" s="821" t="s">
        <v>4794</v>
      </c>
      <c r="J512" s="821" t="s">
        <v>4794</v>
      </c>
      <c r="K512" s="821"/>
      <c r="L512" s="821" t="s">
        <v>4794</v>
      </c>
      <c r="M512" s="821"/>
      <c r="N512" s="821" t="s">
        <v>4794</v>
      </c>
      <c r="O512" s="822">
        <v>1</v>
      </c>
      <c r="P512" s="821" t="s">
        <v>4794</v>
      </c>
      <c r="Q512" s="823">
        <f t="shared" si="7"/>
        <v>2</v>
      </c>
      <c r="R512" s="824" t="s">
        <v>4025</v>
      </c>
      <c r="S512" s="836"/>
      <c r="T512" s="851"/>
      <c r="U512" s="851"/>
      <c r="V512" s="851"/>
      <c r="W512" s="851"/>
      <c r="X512" s="871"/>
      <c r="Y512" s="851"/>
      <c r="Z512" s="851"/>
      <c r="AA512" s="851"/>
      <c r="AB512" s="851"/>
      <c r="AC512" s="851"/>
      <c r="AD512" s="851"/>
      <c r="AE512" s="851"/>
      <c r="AF512" s="837"/>
    </row>
    <row r="513" spans="1:32" ht="31.5">
      <c r="A513" s="827">
        <v>488</v>
      </c>
      <c r="B513" s="828" t="s">
        <v>4490</v>
      </c>
      <c r="C513" s="828" t="s">
        <v>4493</v>
      </c>
      <c r="D513" s="829" t="s">
        <v>4494</v>
      </c>
      <c r="E513" s="830" t="s">
        <v>4794</v>
      </c>
      <c r="F513" s="831">
        <v>1</v>
      </c>
      <c r="G513" s="830" t="s">
        <v>4794</v>
      </c>
      <c r="H513" s="831">
        <v>1</v>
      </c>
      <c r="I513" s="830" t="s">
        <v>4794</v>
      </c>
      <c r="J513" s="831">
        <v>1</v>
      </c>
      <c r="K513" s="830" t="s">
        <v>4794</v>
      </c>
      <c r="L513" s="831">
        <v>1</v>
      </c>
      <c r="M513" s="830" t="s">
        <v>4794</v>
      </c>
      <c r="N513" s="831">
        <v>1</v>
      </c>
      <c r="O513" s="830" t="s">
        <v>4794</v>
      </c>
      <c r="P513" s="831">
        <v>1</v>
      </c>
      <c r="Q513" s="832">
        <f t="shared" si="7"/>
        <v>6</v>
      </c>
      <c r="R513" s="833" t="s">
        <v>4025</v>
      </c>
      <c r="S513" s="836"/>
      <c r="T513" s="851"/>
      <c r="U513" s="851"/>
      <c r="V513" s="851"/>
      <c r="W513" s="851"/>
      <c r="X513" s="871"/>
      <c r="Y513" s="851"/>
      <c r="Z513" s="851"/>
      <c r="AA513" s="851"/>
      <c r="AB513" s="851"/>
      <c r="AC513" s="851"/>
      <c r="AD513" s="851"/>
      <c r="AE513" s="851"/>
      <c r="AF513" s="837"/>
    </row>
    <row r="514" spans="1:32" ht="31.5">
      <c r="A514" s="827">
        <v>489</v>
      </c>
      <c r="B514" s="828" t="s">
        <v>4490</v>
      </c>
      <c r="C514" s="828" t="s">
        <v>4495</v>
      </c>
      <c r="D514" s="829" t="s">
        <v>4496</v>
      </c>
      <c r="E514" s="830" t="s">
        <v>4794</v>
      </c>
      <c r="F514" s="831">
        <v>1</v>
      </c>
      <c r="G514" s="830" t="s">
        <v>4794</v>
      </c>
      <c r="H514" s="831">
        <v>1</v>
      </c>
      <c r="I514" s="830" t="s">
        <v>4794</v>
      </c>
      <c r="J514" s="831">
        <v>1</v>
      </c>
      <c r="K514" s="830" t="s">
        <v>4794</v>
      </c>
      <c r="L514" s="831">
        <v>1</v>
      </c>
      <c r="M514" s="830" t="s">
        <v>4794</v>
      </c>
      <c r="N514" s="831">
        <v>1</v>
      </c>
      <c r="O514" s="830" t="s">
        <v>4794</v>
      </c>
      <c r="P514" s="831">
        <v>1</v>
      </c>
      <c r="Q514" s="832">
        <f t="shared" si="7"/>
        <v>6</v>
      </c>
      <c r="R514" s="833" t="s">
        <v>4025</v>
      </c>
      <c r="S514" s="836"/>
      <c r="T514" s="851"/>
      <c r="U514" s="851"/>
      <c r="V514" s="851"/>
      <c r="W514" s="851"/>
      <c r="X514" s="851"/>
      <c r="Y514" s="851"/>
      <c r="Z514" s="851"/>
      <c r="AA514" s="851"/>
      <c r="AB514" s="851"/>
      <c r="AC514" s="851"/>
      <c r="AD514" s="851"/>
      <c r="AE514" s="851"/>
      <c r="AF514" s="837"/>
    </row>
    <row r="515" spans="1:32" ht="31.5">
      <c r="A515" s="827">
        <v>490</v>
      </c>
      <c r="B515" s="828" t="s">
        <v>4490</v>
      </c>
      <c r="C515" s="828" t="s">
        <v>4497</v>
      </c>
      <c r="D515" s="829" t="s">
        <v>4498</v>
      </c>
      <c r="E515" s="830" t="s">
        <v>4794</v>
      </c>
      <c r="F515" s="830" t="s">
        <v>4794</v>
      </c>
      <c r="G515" s="830" t="s">
        <v>4794</v>
      </c>
      <c r="H515" s="830" t="s">
        <v>4794</v>
      </c>
      <c r="I515" s="830" t="s">
        <v>4794</v>
      </c>
      <c r="J515" s="830" t="s">
        <v>4794</v>
      </c>
      <c r="K515" s="830" t="s">
        <v>4794</v>
      </c>
      <c r="L515" s="831">
        <v>1</v>
      </c>
      <c r="M515" s="830" t="s">
        <v>4794</v>
      </c>
      <c r="N515" s="830" t="s">
        <v>4794</v>
      </c>
      <c r="O515" s="830" t="s">
        <v>4794</v>
      </c>
      <c r="P515" s="830" t="s">
        <v>4794</v>
      </c>
      <c r="Q515" s="832">
        <f t="shared" si="7"/>
        <v>1</v>
      </c>
      <c r="R515" s="833" t="s">
        <v>4025</v>
      </c>
      <c r="S515" s="836"/>
      <c r="T515" s="872"/>
      <c r="U515" s="872"/>
      <c r="V515" s="872"/>
      <c r="W515" s="872"/>
      <c r="X515" s="872"/>
      <c r="Y515" s="872"/>
      <c r="Z515" s="872"/>
      <c r="AA515" s="872"/>
      <c r="AB515" s="872"/>
      <c r="AC515" s="872"/>
      <c r="AD515" s="872"/>
      <c r="AE515" s="872"/>
      <c r="AF515" s="837"/>
    </row>
    <row r="516" spans="1:32" ht="31.5">
      <c r="A516" s="827">
        <v>491</v>
      </c>
      <c r="B516" s="828" t="s">
        <v>4490</v>
      </c>
      <c r="C516" s="828" t="s">
        <v>4499</v>
      </c>
      <c r="D516" s="829" t="s">
        <v>4500</v>
      </c>
      <c r="E516" s="830" t="s">
        <v>4794</v>
      </c>
      <c r="F516" s="830" t="s">
        <v>4794</v>
      </c>
      <c r="G516" s="830" t="s">
        <v>4794</v>
      </c>
      <c r="H516" s="830" t="s">
        <v>4794</v>
      </c>
      <c r="I516" s="831">
        <v>1</v>
      </c>
      <c r="J516" s="830" t="s">
        <v>4794</v>
      </c>
      <c r="K516" s="830" t="s">
        <v>4794</v>
      </c>
      <c r="L516" s="830" t="s">
        <v>4794</v>
      </c>
      <c r="M516" s="830" t="s">
        <v>4794</v>
      </c>
      <c r="N516" s="830" t="s">
        <v>4794</v>
      </c>
      <c r="O516" s="830" t="s">
        <v>4794</v>
      </c>
      <c r="P516" s="830" t="s">
        <v>4794</v>
      </c>
      <c r="Q516" s="832">
        <f t="shared" si="7"/>
        <v>1</v>
      </c>
      <c r="R516" s="833" t="s">
        <v>4025</v>
      </c>
      <c r="S516" s="836"/>
      <c r="T516" s="851"/>
      <c r="U516" s="851"/>
      <c r="V516" s="851"/>
      <c r="W516" s="851"/>
      <c r="X516" s="851"/>
      <c r="Y516" s="851"/>
      <c r="Z516" s="851"/>
      <c r="AA516" s="851"/>
      <c r="AB516" s="851"/>
      <c r="AC516" s="851"/>
      <c r="AD516" s="851"/>
      <c r="AE516" s="851"/>
      <c r="AF516" s="837"/>
    </row>
    <row r="517" spans="1:32" ht="52.5">
      <c r="A517" s="827">
        <v>492</v>
      </c>
      <c r="B517" s="828" t="s">
        <v>4490</v>
      </c>
      <c r="C517" s="828" t="s">
        <v>4501</v>
      </c>
      <c r="D517" s="829" t="s">
        <v>4502</v>
      </c>
      <c r="E517" s="830" t="s">
        <v>4794</v>
      </c>
      <c r="F517" s="830" t="s">
        <v>4794</v>
      </c>
      <c r="G517" s="830" t="s">
        <v>4794</v>
      </c>
      <c r="H517" s="831">
        <v>1</v>
      </c>
      <c r="I517" s="830" t="s">
        <v>4794</v>
      </c>
      <c r="J517" s="830" t="s">
        <v>4794</v>
      </c>
      <c r="K517" s="830" t="s">
        <v>4794</v>
      </c>
      <c r="L517" s="830" t="s">
        <v>4794</v>
      </c>
      <c r="M517" s="830" t="s">
        <v>4794</v>
      </c>
      <c r="N517" s="830" t="s">
        <v>4794</v>
      </c>
      <c r="O517" s="830" t="s">
        <v>4794</v>
      </c>
      <c r="P517" s="830" t="s">
        <v>4794</v>
      </c>
      <c r="Q517" s="832">
        <f t="shared" si="7"/>
        <v>1</v>
      </c>
      <c r="R517" s="833" t="s">
        <v>4025</v>
      </c>
      <c r="S517" s="836"/>
      <c r="T517" s="851"/>
      <c r="U517" s="851"/>
      <c r="V517" s="851"/>
      <c r="W517" s="851"/>
      <c r="X517" s="851"/>
      <c r="Y517" s="851"/>
      <c r="Z517" s="851"/>
      <c r="AA517" s="851"/>
      <c r="AB517" s="851"/>
      <c r="AC517" s="851"/>
      <c r="AD517" s="851"/>
      <c r="AE517" s="851"/>
      <c r="AF517" s="837"/>
    </row>
    <row r="518" spans="1:32" ht="52.5">
      <c r="A518" s="827">
        <v>493</v>
      </c>
      <c r="B518" s="828" t="s">
        <v>4490</v>
      </c>
      <c r="C518" s="828" t="s">
        <v>4503</v>
      </c>
      <c r="D518" s="829" t="s">
        <v>4504</v>
      </c>
      <c r="E518" s="830" t="s">
        <v>4794</v>
      </c>
      <c r="F518" s="830" t="s">
        <v>4794</v>
      </c>
      <c r="G518" s="830" t="s">
        <v>4794</v>
      </c>
      <c r="H518" s="831">
        <v>1</v>
      </c>
      <c r="I518" s="830" t="s">
        <v>4794</v>
      </c>
      <c r="J518" s="830" t="s">
        <v>4794</v>
      </c>
      <c r="K518" s="830" t="s">
        <v>4794</v>
      </c>
      <c r="L518" s="830" t="s">
        <v>4794</v>
      </c>
      <c r="M518" s="830" t="s">
        <v>4794</v>
      </c>
      <c r="N518" s="830" t="s">
        <v>4794</v>
      </c>
      <c r="O518" s="830" t="s">
        <v>4794</v>
      </c>
      <c r="P518" s="830" t="s">
        <v>4794</v>
      </c>
      <c r="Q518" s="832">
        <f t="shared" si="7"/>
        <v>1</v>
      </c>
      <c r="R518" s="833" t="s">
        <v>4025</v>
      </c>
      <c r="S518" s="836"/>
      <c r="T518" s="851"/>
      <c r="U518" s="851"/>
      <c r="V518" s="851"/>
      <c r="W518" s="851"/>
      <c r="X518" s="851"/>
      <c r="Y518" s="851"/>
      <c r="Z518" s="851"/>
      <c r="AA518" s="851"/>
      <c r="AB518" s="851"/>
      <c r="AC518" s="851"/>
      <c r="AD518" s="851"/>
      <c r="AE518" s="851"/>
      <c r="AF518" s="837"/>
    </row>
    <row r="519" spans="1:32" ht="31.5">
      <c r="A519" s="827">
        <v>494</v>
      </c>
      <c r="B519" s="828" t="s">
        <v>4490</v>
      </c>
      <c r="C519" s="828" t="s">
        <v>4505</v>
      </c>
      <c r="D519" s="829" t="s">
        <v>4506</v>
      </c>
      <c r="E519" s="830"/>
      <c r="F519" s="830" t="s">
        <v>4794</v>
      </c>
      <c r="G519" s="830" t="s">
        <v>4794</v>
      </c>
      <c r="H519" s="830" t="s">
        <v>4794</v>
      </c>
      <c r="I519" s="830"/>
      <c r="J519" s="830" t="s">
        <v>4794</v>
      </c>
      <c r="K519" s="830" t="s">
        <v>4794</v>
      </c>
      <c r="L519" s="830"/>
      <c r="M519" s="830" t="s">
        <v>4794</v>
      </c>
      <c r="N519" s="830" t="s">
        <v>4794</v>
      </c>
      <c r="O519" s="830" t="s">
        <v>4794</v>
      </c>
      <c r="P519" s="831">
        <v>1</v>
      </c>
      <c r="Q519" s="832">
        <f t="shared" si="7"/>
        <v>1</v>
      </c>
      <c r="R519" s="833" t="s">
        <v>4025</v>
      </c>
      <c r="S519" s="836"/>
      <c r="T519" s="851"/>
      <c r="U519" s="851"/>
      <c r="V519" s="851"/>
      <c r="W519" s="851"/>
      <c r="X519" s="851"/>
      <c r="Y519" s="851"/>
      <c r="Z519" s="870"/>
      <c r="AA519" s="851"/>
      <c r="AB519" s="851"/>
      <c r="AC519" s="851"/>
      <c r="AD519" s="851"/>
      <c r="AE519" s="851"/>
      <c r="AF519" s="837"/>
    </row>
    <row r="520" spans="1:32" ht="63">
      <c r="A520" s="827">
        <v>495</v>
      </c>
      <c r="B520" s="828" t="s">
        <v>4490</v>
      </c>
      <c r="C520" s="828" t="s">
        <v>4507</v>
      </c>
      <c r="D520" s="829" t="s">
        <v>1379</v>
      </c>
      <c r="E520" s="830" t="s">
        <v>4794</v>
      </c>
      <c r="F520" s="830" t="s">
        <v>4794</v>
      </c>
      <c r="G520" s="830"/>
      <c r="H520" s="830" t="s">
        <v>4794</v>
      </c>
      <c r="I520" s="830" t="s">
        <v>4794</v>
      </c>
      <c r="J520" s="831">
        <v>1</v>
      </c>
      <c r="K520" s="830" t="s">
        <v>4794</v>
      </c>
      <c r="L520" s="830" t="s">
        <v>4794</v>
      </c>
      <c r="M520" s="830" t="s">
        <v>4794</v>
      </c>
      <c r="N520" s="830" t="s">
        <v>4794</v>
      </c>
      <c r="O520" s="830" t="s">
        <v>4794</v>
      </c>
      <c r="P520" s="830" t="s">
        <v>4794</v>
      </c>
      <c r="Q520" s="832">
        <f t="shared" si="7"/>
        <v>1</v>
      </c>
      <c r="R520" s="833" t="s">
        <v>4025</v>
      </c>
      <c r="S520" s="836"/>
      <c r="T520" s="851"/>
      <c r="U520" s="851"/>
      <c r="V520" s="851"/>
      <c r="W520" s="851"/>
      <c r="X520" s="851"/>
      <c r="Y520" s="851"/>
      <c r="Z520" s="851"/>
      <c r="AA520" s="851"/>
      <c r="AB520" s="851"/>
      <c r="AC520" s="851"/>
      <c r="AD520" s="851"/>
      <c r="AE520" s="851"/>
      <c r="AF520" s="837"/>
    </row>
    <row r="521" spans="1:32" ht="52.5">
      <c r="A521" s="827">
        <v>496</v>
      </c>
      <c r="B521" s="828" t="s">
        <v>4490</v>
      </c>
      <c r="C521" s="828" t="s">
        <v>1380</v>
      </c>
      <c r="D521" s="829" t="s">
        <v>1381</v>
      </c>
      <c r="E521" s="830" t="s">
        <v>4794</v>
      </c>
      <c r="F521" s="830" t="s">
        <v>4794</v>
      </c>
      <c r="G521" s="830" t="s">
        <v>4794</v>
      </c>
      <c r="H521" s="830"/>
      <c r="I521" s="831">
        <v>1</v>
      </c>
      <c r="J521" s="830" t="s">
        <v>4794</v>
      </c>
      <c r="K521" s="830" t="s">
        <v>4794</v>
      </c>
      <c r="L521" s="830" t="s">
        <v>4794</v>
      </c>
      <c r="M521" s="830" t="s">
        <v>4794</v>
      </c>
      <c r="N521" s="830" t="s">
        <v>4794</v>
      </c>
      <c r="O521" s="830" t="s">
        <v>4794</v>
      </c>
      <c r="P521" s="830" t="s">
        <v>4794</v>
      </c>
      <c r="Q521" s="832">
        <f t="shared" si="7"/>
        <v>1</v>
      </c>
      <c r="R521" s="833" t="s">
        <v>4025</v>
      </c>
      <c r="S521" s="836"/>
      <c r="T521" s="851"/>
      <c r="U521" s="851"/>
      <c r="V521" s="851"/>
      <c r="W521" s="851"/>
      <c r="X521" s="851"/>
      <c r="Y521" s="851"/>
      <c r="Z521" s="851"/>
      <c r="AA521" s="851"/>
      <c r="AB521" s="851"/>
      <c r="AC521" s="851"/>
      <c r="AD521" s="851"/>
      <c r="AE521" s="851"/>
      <c r="AF521" s="837"/>
    </row>
    <row r="522" spans="1:32" ht="52.5">
      <c r="A522" s="827">
        <v>497</v>
      </c>
      <c r="B522" s="828" t="s">
        <v>4490</v>
      </c>
      <c r="C522" s="828" t="s">
        <v>1382</v>
      </c>
      <c r="D522" s="829" t="s">
        <v>1383</v>
      </c>
      <c r="E522" s="830" t="s">
        <v>4794</v>
      </c>
      <c r="F522" s="830"/>
      <c r="G522" s="830" t="s">
        <v>4794</v>
      </c>
      <c r="H522" s="830" t="s">
        <v>4794</v>
      </c>
      <c r="I522" s="831">
        <v>2</v>
      </c>
      <c r="J522" s="830" t="s">
        <v>4794</v>
      </c>
      <c r="K522" s="830" t="s">
        <v>4794</v>
      </c>
      <c r="L522" s="830"/>
      <c r="M522" s="830" t="s">
        <v>4794</v>
      </c>
      <c r="N522" s="830" t="s">
        <v>4794</v>
      </c>
      <c r="O522" s="830"/>
      <c r="P522" s="830" t="s">
        <v>4794</v>
      </c>
      <c r="Q522" s="832">
        <f t="shared" si="7"/>
        <v>2</v>
      </c>
      <c r="R522" s="833" t="s">
        <v>4025</v>
      </c>
      <c r="S522" s="836"/>
      <c r="T522" s="851"/>
      <c r="U522" s="851"/>
      <c r="V522" s="851"/>
      <c r="W522" s="851"/>
      <c r="X522" s="851"/>
      <c r="Y522" s="851"/>
      <c r="Z522" s="851"/>
      <c r="AA522" s="851"/>
      <c r="AB522" s="851"/>
      <c r="AC522" s="851"/>
      <c r="AD522" s="851"/>
      <c r="AE522" s="851"/>
      <c r="AF522" s="837"/>
    </row>
    <row r="523" spans="1:32" ht="52.5">
      <c r="A523" s="827">
        <v>498</v>
      </c>
      <c r="B523" s="828" t="s">
        <v>4490</v>
      </c>
      <c r="C523" s="828" t="s">
        <v>1384</v>
      </c>
      <c r="D523" s="829" t="s">
        <v>1385</v>
      </c>
      <c r="E523" s="830" t="s">
        <v>4794</v>
      </c>
      <c r="F523" s="830"/>
      <c r="G523" s="830" t="s">
        <v>4794</v>
      </c>
      <c r="H523" s="830" t="s">
        <v>4794</v>
      </c>
      <c r="I523" s="831">
        <v>2</v>
      </c>
      <c r="J523" s="830" t="s">
        <v>4794</v>
      </c>
      <c r="K523" s="830" t="s">
        <v>4794</v>
      </c>
      <c r="L523" s="830"/>
      <c r="M523" s="830" t="s">
        <v>4794</v>
      </c>
      <c r="N523" s="830" t="s">
        <v>4794</v>
      </c>
      <c r="O523" s="830"/>
      <c r="P523" s="830" t="s">
        <v>4794</v>
      </c>
      <c r="Q523" s="832">
        <f t="shared" si="7"/>
        <v>2</v>
      </c>
      <c r="R523" s="833" t="s">
        <v>4025</v>
      </c>
      <c r="S523" s="836"/>
      <c r="T523" s="851"/>
      <c r="U523" s="851"/>
      <c r="V523" s="851"/>
      <c r="W523" s="851"/>
      <c r="X523" s="851"/>
      <c r="Y523" s="851"/>
      <c r="Z523" s="851"/>
      <c r="AA523" s="851"/>
      <c r="AB523" s="851"/>
      <c r="AC523" s="851"/>
      <c r="AD523" s="851"/>
      <c r="AE523" s="851"/>
      <c r="AF523" s="837"/>
    </row>
    <row r="524" spans="1:32" ht="73.5">
      <c r="A524" s="827">
        <v>499</v>
      </c>
      <c r="B524" s="828" t="s">
        <v>4490</v>
      </c>
      <c r="C524" s="828" t="s">
        <v>1386</v>
      </c>
      <c r="D524" s="829" t="s">
        <v>1387</v>
      </c>
      <c r="E524" s="830" t="s">
        <v>4794</v>
      </c>
      <c r="F524" s="830" t="s">
        <v>4794</v>
      </c>
      <c r="G524" s="830"/>
      <c r="H524" s="830" t="s">
        <v>4794</v>
      </c>
      <c r="I524" s="830" t="s">
        <v>4794</v>
      </c>
      <c r="J524" s="831">
        <v>1</v>
      </c>
      <c r="K524" s="830" t="s">
        <v>4794</v>
      </c>
      <c r="L524" s="830" t="s">
        <v>4794</v>
      </c>
      <c r="M524" s="830" t="s">
        <v>4794</v>
      </c>
      <c r="N524" s="830" t="s">
        <v>4794</v>
      </c>
      <c r="O524" s="830" t="s">
        <v>4794</v>
      </c>
      <c r="P524" s="830" t="s">
        <v>4794</v>
      </c>
      <c r="Q524" s="832">
        <f t="shared" si="7"/>
        <v>1</v>
      </c>
      <c r="R524" s="833" t="s">
        <v>4025</v>
      </c>
      <c r="S524" s="836"/>
      <c r="T524" s="851"/>
      <c r="U524" s="851"/>
      <c r="V524" s="851"/>
      <c r="W524" s="851"/>
      <c r="X524" s="851"/>
      <c r="Y524" s="851"/>
      <c r="Z524" s="851"/>
      <c r="AA524" s="851"/>
      <c r="AB524" s="851"/>
      <c r="AC524" s="851"/>
      <c r="AD524" s="851"/>
      <c r="AE524" s="851"/>
      <c r="AF524" s="837"/>
    </row>
    <row r="525" spans="1:32" ht="84">
      <c r="A525" s="827">
        <v>500</v>
      </c>
      <c r="B525" s="828" t="s">
        <v>4490</v>
      </c>
      <c r="C525" s="828" t="s">
        <v>1388</v>
      </c>
      <c r="D525" s="829" t="s">
        <v>1389</v>
      </c>
      <c r="E525" s="830" t="s">
        <v>4794</v>
      </c>
      <c r="F525" s="830" t="s">
        <v>4794</v>
      </c>
      <c r="G525" s="830" t="s">
        <v>4794</v>
      </c>
      <c r="H525" s="830"/>
      <c r="I525" s="830" t="s">
        <v>4794</v>
      </c>
      <c r="J525" s="831">
        <v>1</v>
      </c>
      <c r="K525" s="830" t="s">
        <v>4794</v>
      </c>
      <c r="L525" s="830" t="s">
        <v>4794</v>
      </c>
      <c r="M525" s="830" t="s">
        <v>4794</v>
      </c>
      <c r="N525" s="830" t="s">
        <v>4794</v>
      </c>
      <c r="O525" s="830" t="s">
        <v>4794</v>
      </c>
      <c r="P525" s="830" t="s">
        <v>4794</v>
      </c>
      <c r="Q525" s="832">
        <f t="shared" si="7"/>
        <v>1</v>
      </c>
      <c r="R525" s="833" t="s">
        <v>4025</v>
      </c>
      <c r="S525" s="836"/>
      <c r="T525" s="851"/>
      <c r="U525" s="851"/>
      <c r="V525" s="851"/>
      <c r="W525" s="851"/>
      <c r="X525" s="851"/>
      <c r="Y525" s="851"/>
      <c r="Z525" s="851"/>
      <c r="AA525" s="851"/>
      <c r="AB525" s="851"/>
      <c r="AC525" s="851"/>
      <c r="AD525" s="851"/>
      <c r="AE525" s="851"/>
      <c r="AF525" s="837"/>
    </row>
    <row r="526" spans="1:32" ht="63">
      <c r="A526" s="827">
        <v>501</v>
      </c>
      <c r="B526" s="828" t="s">
        <v>4490</v>
      </c>
      <c r="C526" s="828" t="s">
        <v>1390</v>
      </c>
      <c r="D526" s="829" t="s">
        <v>1391</v>
      </c>
      <c r="E526" s="830" t="s">
        <v>4794</v>
      </c>
      <c r="F526" s="830" t="s">
        <v>4794</v>
      </c>
      <c r="G526" s="830" t="s">
        <v>4794</v>
      </c>
      <c r="H526" s="830"/>
      <c r="I526" s="830" t="s">
        <v>4794</v>
      </c>
      <c r="J526" s="831">
        <v>1</v>
      </c>
      <c r="K526" s="830" t="s">
        <v>4794</v>
      </c>
      <c r="L526" s="830" t="s">
        <v>4794</v>
      </c>
      <c r="M526" s="830" t="s">
        <v>4794</v>
      </c>
      <c r="N526" s="830" t="s">
        <v>4794</v>
      </c>
      <c r="O526" s="830" t="s">
        <v>4794</v>
      </c>
      <c r="P526" s="830" t="s">
        <v>4794</v>
      </c>
      <c r="Q526" s="832">
        <f t="shared" si="7"/>
        <v>1</v>
      </c>
      <c r="R526" s="833" t="s">
        <v>4025</v>
      </c>
      <c r="S526" s="836"/>
      <c r="T526" s="851"/>
      <c r="U526" s="851"/>
      <c r="V526" s="851"/>
      <c r="W526" s="851"/>
      <c r="X526" s="851"/>
      <c r="Y526" s="851"/>
      <c r="Z526" s="851"/>
      <c r="AA526" s="851"/>
      <c r="AB526" s="851"/>
      <c r="AC526" s="851"/>
      <c r="AD526" s="851"/>
      <c r="AE526" s="851"/>
      <c r="AF526" s="837"/>
    </row>
    <row r="527" spans="1:32" ht="63">
      <c r="A527" s="827">
        <v>502</v>
      </c>
      <c r="B527" s="828" t="s">
        <v>4490</v>
      </c>
      <c r="C527" s="828" t="s">
        <v>1392</v>
      </c>
      <c r="D527" s="829" t="s">
        <v>1393</v>
      </c>
      <c r="E527" s="830" t="s">
        <v>4794</v>
      </c>
      <c r="F527" s="830" t="s">
        <v>4794</v>
      </c>
      <c r="G527" s="830" t="s">
        <v>4794</v>
      </c>
      <c r="H527" s="830"/>
      <c r="I527" s="830" t="s">
        <v>4794</v>
      </c>
      <c r="J527" s="831">
        <v>1</v>
      </c>
      <c r="K527" s="830" t="s">
        <v>4794</v>
      </c>
      <c r="L527" s="830" t="s">
        <v>4794</v>
      </c>
      <c r="M527" s="830" t="s">
        <v>4794</v>
      </c>
      <c r="N527" s="830" t="s">
        <v>4794</v>
      </c>
      <c r="O527" s="830" t="s">
        <v>4794</v>
      </c>
      <c r="P527" s="830" t="s">
        <v>4794</v>
      </c>
      <c r="Q527" s="832">
        <f t="shared" si="7"/>
        <v>1</v>
      </c>
      <c r="R527" s="833" t="s">
        <v>4025</v>
      </c>
      <c r="S527" s="836"/>
      <c r="T527" s="851"/>
      <c r="U527" s="851"/>
      <c r="V527" s="851"/>
      <c r="W527" s="851"/>
      <c r="X527" s="851"/>
      <c r="Y527" s="851"/>
      <c r="Z527" s="851"/>
      <c r="AA527" s="851"/>
      <c r="AB527" s="851"/>
      <c r="AC527" s="851"/>
      <c r="AD527" s="851"/>
      <c r="AE527" s="851"/>
      <c r="AF527" s="837"/>
    </row>
    <row r="528" spans="1:32" ht="42">
      <c r="A528" s="827">
        <v>503</v>
      </c>
      <c r="B528" s="828" t="s">
        <v>4490</v>
      </c>
      <c r="C528" s="873" t="s">
        <v>1394</v>
      </c>
      <c r="D528" s="874" t="s">
        <v>1395</v>
      </c>
      <c r="E528" s="868" t="s">
        <v>4794</v>
      </c>
      <c r="F528" s="868" t="s">
        <v>4794</v>
      </c>
      <c r="G528" s="868" t="s">
        <v>4794</v>
      </c>
      <c r="H528" s="869">
        <v>2</v>
      </c>
      <c r="I528" s="868" t="s">
        <v>4794</v>
      </c>
      <c r="J528" s="868" t="s">
        <v>4794</v>
      </c>
      <c r="K528" s="868" t="s">
        <v>4794</v>
      </c>
      <c r="L528" s="868" t="s">
        <v>4794</v>
      </c>
      <c r="M528" s="868" t="s">
        <v>4794</v>
      </c>
      <c r="N528" s="868" t="s">
        <v>4794</v>
      </c>
      <c r="O528" s="868" t="s">
        <v>4794</v>
      </c>
      <c r="P528" s="868" t="s">
        <v>4794</v>
      </c>
      <c r="Q528" s="875">
        <f t="shared" si="7"/>
        <v>2</v>
      </c>
      <c r="R528" s="876" t="s">
        <v>4025</v>
      </c>
      <c r="S528" s="836"/>
      <c r="T528" s="851"/>
      <c r="U528" s="851"/>
      <c r="V528" s="851"/>
      <c r="W528" s="851"/>
      <c r="X528" s="851"/>
      <c r="Y528" s="851"/>
      <c r="Z528" s="851"/>
      <c r="AA528" s="851"/>
      <c r="AB528" s="851"/>
      <c r="AC528" s="851"/>
      <c r="AD528" s="851"/>
      <c r="AE528" s="851"/>
      <c r="AF528" s="837"/>
    </row>
    <row r="529" spans="1:32" ht="31.5">
      <c r="A529" s="827">
        <v>504</v>
      </c>
      <c r="B529" s="828" t="s">
        <v>4490</v>
      </c>
      <c r="C529" s="873">
        <v>6943248</v>
      </c>
      <c r="D529" s="874" t="s">
        <v>1396</v>
      </c>
      <c r="E529" s="868"/>
      <c r="F529" s="868"/>
      <c r="G529" s="869">
        <v>4</v>
      </c>
      <c r="H529" s="868"/>
      <c r="I529" s="868"/>
      <c r="J529" s="869">
        <v>4</v>
      </c>
      <c r="K529" s="868"/>
      <c r="L529" s="868"/>
      <c r="M529" s="868"/>
      <c r="N529" s="869">
        <v>4</v>
      </c>
      <c r="O529" s="868"/>
      <c r="P529" s="868"/>
      <c r="Q529" s="875">
        <f t="shared" si="7"/>
        <v>12</v>
      </c>
      <c r="R529" s="876" t="s">
        <v>4025</v>
      </c>
      <c r="S529" s="836"/>
      <c r="T529" s="851"/>
      <c r="U529" s="851"/>
      <c r="V529" s="851"/>
      <c r="W529" s="851"/>
      <c r="X529" s="851"/>
      <c r="Y529" s="851"/>
      <c r="Z529" s="851"/>
      <c r="AA529" s="851"/>
      <c r="AB529" s="851"/>
      <c r="AC529" s="851"/>
      <c r="AD529" s="851"/>
      <c r="AE529" s="851"/>
      <c r="AF529" s="837"/>
    </row>
    <row r="530" spans="1:32" ht="31.5">
      <c r="A530" s="827">
        <v>505</v>
      </c>
      <c r="B530" s="828" t="s">
        <v>4490</v>
      </c>
      <c r="C530" s="873">
        <v>6942818</v>
      </c>
      <c r="D530" s="874" t="s">
        <v>1397</v>
      </c>
      <c r="E530" s="869">
        <v>8</v>
      </c>
      <c r="F530" s="869">
        <v>4</v>
      </c>
      <c r="G530" s="868"/>
      <c r="H530" s="869">
        <v>4</v>
      </c>
      <c r="I530" s="868"/>
      <c r="J530" s="869">
        <v>8</v>
      </c>
      <c r="K530" s="868"/>
      <c r="L530" s="869">
        <v>4</v>
      </c>
      <c r="M530" s="868"/>
      <c r="N530" s="869">
        <v>4</v>
      </c>
      <c r="O530" s="868"/>
      <c r="P530" s="868"/>
      <c r="Q530" s="875">
        <f t="shared" si="7"/>
        <v>32</v>
      </c>
      <c r="R530" s="876" t="s">
        <v>4025</v>
      </c>
      <c r="S530" s="859"/>
      <c r="T530" s="859"/>
      <c r="U530" s="859"/>
      <c r="V530" s="859"/>
      <c r="W530" s="859"/>
      <c r="X530" s="859"/>
      <c r="Y530" s="859"/>
      <c r="Z530" s="859"/>
      <c r="AA530" s="859"/>
      <c r="AB530" s="859"/>
      <c r="AC530" s="859"/>
      <c r="AD530" s="859"/>
      <c r="AE530" s="859"/>
      <c r="AF530" s="859"/>
    </row>
    <row r="531" spans="1:32" ht="21">
      <c r="A531" s="827">
        <v>506</v>
      </c>
      <c r="B531" s="828" t="s">
        <v>4490</v>
      </c>
      <c r="C531" s="873">
        <v>3704310</v>
      </c>
      <c r="D531" s="874" t="s">
        <v>1398</v>
      </c>
      <c r="E531" s="868"/>
      <c r="F531" s="868"/>
      <c r="G531" s="869">
        <v>4</v>
      </c>
      <c r="H531" s="868"/>
      <c r="I531" s="868"/>
      <c r="J531" s="869">
        <v>4</v>
      </c>
      <c r="K531" s="868"/>
      <c r="L531" s="868"/>
      <c r="M531" s="868"/>
      <c r="N531" s="868"/>
      <c r="O531" s="868"/>
      <c r="P531" s="868"/>
      <c r="Q531" s="875">
        <f t="shared" si="7"/>
        <v>8</v>
      </c>
      <c r="R531" s="876" t="s">
        <v>4025</v>
      </c>
      <c r="S531" s="834"/>
      <c r="T531" s="877"/>
      <c r="U531" s="877"/>
      <c r="V531" s="877"/>
      <c r="W531" s="877"/>
      <c r="X531" s="877"/>
      <c r="Y531" s="877"/>
      <c r="Z531" s="877"/>
      <c r="AA531" s="877"/>
      <c r="AB531" s="877"/>
      <c r="AC531" s="877"/>
      <c r="AD531" s="877"/>
      <c r="AE531" s="877"/>
      <c r="AF531" s="835"/>
    </row>
    <row r="532" spans="1:32" ht="42.75">
      <c r="A532" s="827">
        <v>507</v>
      </c>
      <c r="B532" s="828" t="s">
        <v>4490</v>
      </c>
      <c r="C532" s="828">
        <v>9105779</v>
      </c>
      <c r="D532" s="863" t="s">
        <v>1399</v>
      </c>
      <c r="E532" s="830"/>
      <c r="F532" s="830"/>
      <c r="G532" s="831">
        <v>1</v>
      </c>
      <c r="H532" s="830"/>
      <c r="I532" s="830"/>
      <c r="J532" s="830"/>
      <c r="K532" s="830"/>
      <c r="L532" s="830"/>
      <c r="M532" s="830"/>
      <c r="N532" s="830"/>
      <c r="O532" s="830"/>
      <c r="P532" s="830"/>
      <c r="Q532" s="832">
        <f t="shared" si="7"/>
        <v>1</v>
      </c>
      <c r="R532" s="833" t="s">
        <v>4025</v>
      </c>
      <c r="S532" s="834"/>
      <c r="T532" s="865"/>
      <c r="U532" s="865"/>
      <c r="V532" s="865"/>
      <c r="W532" s="865"/>
      <c r="X532" s="865"/>
      <c r="Y532" s="865"/>
      <c r="Z532" s="865"/>
      <c r="AA532" s="865"/>
      <c r="AB532" s="865"/>
      <c r="AC532" s="865"/>
      <c r="AD532" s="865"/>
      <c r="AE532" s="865"/>
      <c r="AF532" s="835"/>
    </row>
    <row r="533" spans="1:32" ht="42.75">
      <c r="A533" s="827">
        <v>508</v>
      </c>
      <c r="B533" s="828" t="s">
        <v>4490</v>
      </c>
      <c r="C533" s="828">
        <v>9106756</v>
      </c>
      <c r="D533" s="863" t="s">
        <v>1400</v>
      </c>
      <c r="E533" s="830"/>
      <c r="F533" s="830"/>
      <c r="G533" s="830"/>
      <c r="H533" s="831">
        <v>1</v>
      </c>
      <c r="I533" s="830"/>
      <c r="J533" s="830"/>
      <c r="K533" s="830"/>
      <c r="L533" s="830"/>
      <c r="M533" s="830"/>
      <c r="N533" s="830"/>
      <c r="O533" s="830"/>
      <c r="P533" s="830"/>
      <c r="Q533" s="832">
        <f t="shared" si="7"/>
        <v>1</v>
      </c>
      <c r="R533" s="833" t="s">
        <v>4025</v>
      </c>
      <c r="S533" s="859"/>
      <c r="T533" s="859"/>
      <c r="U533" s="859"/>
      <c r="V533" s="859"/>
      <c r="W533" s="859"/>
      <c r="X533" s="859"/>
      <c r="Y533" s="859"/>
      <c r="Z533" s="859"/>
      <c r="AA533" s="859"/>
      <c r="AB533" s="859"/>
      <c r="AC533" s="859"/>
      <c r="AD533" s="859"/>
      <c r="AE533" s="859"/>
      <c r="AF533" s="859"/>
    </row>
    <row r="534" spans="1:32" ht="42.75">
      <c r="A534" s="827">
        <v>509</v>
      </c>
      <c r="B534" s="828" t="s">
        <v>4490</v>
      </c>
      <c r="C534" s="828">
        <v>9106300</v>
      </c>
      <c r="D534" s="863" t="s">
        <v>1401</v>
      </c>
      <c r="E534" s="830"/>
      <c r="F534" s="830"/>
      <c r="G534" s="831">
        <v>1</v>
      </c>
      <c r="H534" s="830"/>
      <c r="I534" s="830"/>
      <c r="J534" s="830"/>
      <c r="K534" s="830"/>
      <c r="L534" s="830"/>
      <c r="M534" s="830"/>
      <c r="N534" s="830"/>
      <c r="O534" s="830"/>
      <c r="P534" s="830"/>
      <c r="Q534" s="832">
        <f t="shared" si="7"/>
        <v>1</v>
      </c>
      <c r="R534" s="833" t="s">
        <v>4025</v>
      </c>
      <c r="S534" s="834"/>
      <c r="T534" s="853"/>
      <c r="U534" s="853"/>
      <c r="V534" s="853"/>
      <c r="W534" s="853"/>
      <c r="X534" s="853"/>
      <c r="Y534" s="853"/>
      <c r="Z534" s="853"/>
      <c r="AA534" s="853"/>
      <c r="AB534" s="853"/>
      <c r="AC534" s="853"/>
      <c r="AD534" s="853"/>
      <c r="AE534" s="853"/>
      <c r="AF534" s="835"/>
    </row>
    <row r="535" spans="1:32" ht="32.25">
      <c r="A535" s="827">
        <v>510</v>
      </c>
      <c r="B535" s="828" t="s">
        <v>4490</v>
      </c>
      <c r="C535" s="828"/>
      <c r="D535" s="863" t="s">
        <v>1402</v>
      </c>
      <c r="E535" s="830"/>
      <c r="F535" s="830"/>
      <c r="G535" s="830"/>
      <c r="H535" s="830"/>
      <c r="I535" s="830"/>
      <c r="J535" s="831">
        <v>1</v>
      </c>
      <c r="K535" s="830"/>
      <c r="L535" s="830"/>
      <c r="M535" s="830"/>
      <c r="N535" s="830"/>
      <c r="O535" s="830"/>
      <c r="P535" s="830"/>
      <c r="Q535" s="832">
        <f t="shared" si="7"/>
        <v>1</v>
      </c>
      <c r="R535" s="833" t="s">
        <v>4025</v>
      </c>
      <c r="S535" s="834"/>
      <c r="T535" s="853"/>
      <c r="U535" s="853"/>
      <c r="V535" s="853"/>
      <c r="W535" s="853"/>
      <c r="X535" s="853"/>
      <c r="Y535" s="853"/>
      <c r="Z535" s="853"/>
      <c r="AA535" s="853"/>
      <c r="AB535" s="853"/>
      <c r="AC535" s="853"/>
      <c r="AD535" s="853"/>
      <c r="AE535" s="853"/>
      <c r="AF535" s="835"/>
    </row>
    <row r="536" spans="1:32" ht="32.25">
      <c r="A536" s="827">
        <v>511</v>
      </c>
      <c r="B536" s="828" t="s">
        <v>4490</v>
      </c>
      <c r="C536" s="828"/>
      <c r="D536" s="863" t="s">
        <v>1403</v>
      </c>
      <c r="E536" s="830"/>
      <c r="F536" s="830"/>
      <c r="G536" s="830"/>
      <c r="H536" s="830"/>
      <c r="I536" s="831">
        <v>1</v>
      </c>
      <c r="J536" s="830"/>
      <c r="K536" s="830"/>
      <c r="L536" s="830"/>
      <c r="M536" s="830"/>
      <c r="N536" s="830"/>
      <c r="O536" s="830"/>
      <c r="P536" s="830"/>
      <c r="Q536" s="832">
        <f t="shared" si="7"/>
        <v>1</v>
      </c>
      <c r="R536" s="833" t="s">
        <v>4025</v>
      </c>
      <c r="S536" s="834"/>
      <c r="T536" s="853"/>
      <c r="U536" s="853"/>
      <c r="V536" s="853"/>
      <c r="W536" s="853"/>
      <c r="X536" s="853"/>
      <c r="Y536" s="853"/>
      <c r="Z536" s="853"/>
      <c r="AA536" s="853"/>
      <c r="AB536" s="853"/>
      <c r="AC536" s="853"/>
      <c r="AD536" s="850"/>
      <c r="AE536" s="850"/>
      <c r="AF536" s="835"/>
    </row>
    <row r="537" spans="1:32" ht="63.75">
      <c r="A537" s="827">
        <v>512</v>
      </c>
      <c r="B537" s="828" t="s">
        <v>4490</v>
      </c>
      <c r="C537" s="828">
        <v>6943311</v>
      </c>
      <c r="D537" s="863" t="s">
        <v>1404</v>
      </c>
      <c r="E537" s="830"/>
      <c r="F537" s="830"/>
      <c r="G537" s="830"/>
      <c r="H537" s="830"/>
      <c r="I537" s="830"/>
      <c r="J537" s="831">
        <v>1</v>
      </c>
      <c r="K537" s="830"/>
      <c r="L537" s="830"/>
      <c r="M537" s="830"/>
      <c r="N537" s="830"/>
      <c r="O537" s="830"/>
      <c r="P537" s="830"/>
      <c r="Q537" s="832">
        <f t="shared" si="7"/>
        <v>1</v>
      </c>
      <c r="R537" s="833" t="s">
        <v>4025</v>
      </c>
      <c r="S537" s="834"/>
      <c r="T537" s="853"/>
      <c r="U537" s="853"/>
      <c r="V537" s="853"/>
      <c r="W537" s="853"/>
      <c r="X537" s="853"/>
      <c r="Y537" s="853"/>
      <c r="Z537" s="853"/>
      <c r="AA537" s="853"/>
      <c r="AB537" s="853"/>
      <c r="AC537" s="853"/>
      <c r="AD537" s="850"/>
      <c r="AE537" s="850"/>
      <c r="AF537" s="835"/>
    </row>
    <row r="538" spans="1:32" ht="32.25">
      <c r="A538" s="827">
        <v>513</v>
      </c>
      <c r="B538" s="828" t="s">
        <v>4490</v>
      </c>
      <c r="C538" s="828">
        <v>9103451</v>
      </c>
      <c r="D538" s="863" t="s">
        <v>1405</v>
      </c>
      <c r="E538" s="830"/>
      <c r="F538" s="830"/>
      <c r="G538" s="830"/>
      <c r="H538" s="831">
        <v>1</v>
      </c>
      <c r="I538" s="830"/>
      <c r="J538" s="830"/>
      <c r="K538" s="830"/>
      <c r="L538" s="830"/>
      <c r="M538" s="830"/>
      <c r="N538" s="830"/>
      <c r="O538" s="830"/>
      <c r="P538" s="830"/>
      <c r="Q538" s="832">
        <f t="shared" si="7"/>
        <v>1</v>
      </c>
      <c r="R538" s="833" t="s">
        <v>4025</v>
      </c>
      <c r="S538" s="834"/>
      <c r="T538" s="853"/>
      <c r="U538" s="853"/>
      <c r="V538" s="853"/>
      <c r="W538" s="853"/>
      <c r="X538" s="853"/>
      <c r="Y538" s="853"/>
      <c r="Z538" s="853"/>
      <c r="AA538" s="853"/>
      <c r="AB538" s="853"/>
      <c r="AC538" s="853"/>
      <c r="AD538" s="850"/>
      <c r="AE538" s="850"/>
      <c r="AF538" s="835"/>
    </row>
    <row r="539" spans="1:32" ht="43.5" thickBot="1">
      <c r="A539" s="838">
        <v>514</v>
      </c>
      <c r="B539" s="839" t="s">
        <v>4490</v>
      </c>
      <c r="C539" s="839"/>
      <c r="D539" s="878" t="s">
        <v>1406</v>
      </c>
      <c r="E539" s="841"/>
      <c r="F539" s="841"/>
      <c r="G539" s="841"/>
      <c r="H539" s="841"/>
      <c r="I539" s="841"/>
      <c r="J539" s="841"/>
      <c r="K539" s="841"/>
      <c r="L539" s="842">
        <v>1</v>
      </c>
      <c r="M539" s="841"/>
      <c r="N539" s="841"/>
      <c r="O539" s="841"/>
      <c r="P539" s="841"/>
      <c r="Q539" s="843">
        <f t="shared" si="7"/>
        <v>1</v>
      </c>
      <c r="R539" s="844" t="s">
        <v>4025</v>
      </c>
      <c r="S539" s="834"/>
      <c r="T539" s="850"/>
      <c r="U539" s="850"/>
      <c r="V539" s="850"/>
      <c r="W539" s="850"/>
      <c r="X539" s="850"/>
      <c r="Y539" s="850"/>
      <c r="Z539" s="850"/>
      <c r="AA539" s="850"/>
      <c r="AB539" s="850"/>
      <c r="AC539" s="850"/>
      <c r="AD539" s="850"/>
      <c r="AE539" s="853"/>
      <c r="AF539" s="835"/>
    </row>
    <row r="540" spans="1:32" ht="21.75" thickBot="1">
      <c r="A540" s="879"/>
      <c r="B540" s="880"/>
      <c r="C540" s="880"/>
      <c r="D540" s="881" t="s">
        <v>4020</v>
      </c>
      <c r="E540" s="882"/>
      <c r="F540" s="882"/>
      <c r="G540" s="882"/>
      <c r="H540" s="882"/>
      <c r="I540" s="882"/>
      <c r="J540" s="882"/>
      <c r="K540" s="882"/>
      <c r="L540" s="882"/>
      <c r="M540" s="882"/>
      <c r="N540" s="882"/>
      <c r="O540" s="882"/>
      <c r="P540" s="882"/>
      <c r="Q540" s="883">
        <f t="shared" si="7"/>
        <v>0</v>
      </c>
      <c r="R540" s="884"/>
      <c r="S540" s="834"/>
      <c r="T540" s="850"/>
      <c r="U540" s="850"/>
      <c r="V540" s="850"/>
      <c r="W540" s="850"/>
      <c r="X540" s="850"/>
      <c r="Y540" s="850"/>
      <c r="Z540" s="850"/>
      <c r="AA540" s="850"/>
      <c r="AB540" s="850"/>
      <c r="AC540" s="850"/>
      <c r="AD540" s="850"/>
      <c r="AE540" s="853"/>
      <c r="AF540" s="835"/>
    </row>
    <row r="541" spans="1:32" ht="21">
      <c r="A541" s="818">
        <v>515</v>
      </c>
      <c r="B541" s="819" t="s">
        <v>1407</v>
      </c>
      <c r="C541" s="819" t="s">
        <v>1408</v>
      </c>
      <c r="D541" s="820" t="s">
        <v>1409</v>
      </c>
      <c r="E541" s="821"/>
      <c r="F541" s="821"/>
      <c r="G541" s="821"/>
      <c r="H541" s="821"/>
      <c r="I541" s="822">
        <v>40</v>
      </c>
      <c r="J541" s="822">
        <v>40</v>
      </c>
      <c r="K541" s="821"/>
      <c r="L541" s="821"/>
      <c r="M541" s="821"/>
      <c r="N541" s="821"/>
      <c r="O541" s="822">
        <v>40</v>
      </c>
      <c r="P541" s="822">
        <v>40</v>
      </c>
      <c r="Q541" s="823">
        <f t="shared" si="7"/>
        <v>160</v>
      </c>
      <c r="R541" s="824" t="s">
        <v>3714</v>
      </c>
      <c r="S541" s="834"/>
      <c r="T541" s="853"/>
      <c r="U541" s="850"/>
      <c r="V541" s="850"/>
      <c r="W541" s="850"/>
      <c r="X541" s="850"/>
      <c r="Y541" s="850"/>
      <c r="Z541" s="850"/>
      <c r="AA541" s="850"/>
      <c r="AB541" s="850"/>
      <c r="AC541" s="850"/>
      <c r="AD541" s="853"/>
      <c r="AE541" s="853"/>
      <c r="AF541" s="835"/>
    </row>
    <row r="542" spans="1:32" ht="21">
      <c r="A542" s="885">
        <v>516</v>
      </c>
      <c r="B542" s="886" t="s">
        <v>1407</v>
      </c>
      <c r="C542" s="886">
        <v>3814047</v>
      </c>
      <c r="D542" s="887" t="s">
        <v>1410</v>
      </c>
      <c r="E542" s="888"/>
      <c r="F542" s="888"/>
      <c r="G542" s="888"/>
      <c r="H542" s="889">
        <v>29</v>
      </c>
      <c r="I542" s="888"/>
      <c r="J542" s="888"/>
      <c r="K542" s="888"/>
      <c r="L542" s="888"/>
      <c r="M542" s="888"/>
      <c r="N542" s="888"/>
      <c r="O542" s="888"/>
      <c r="P542" s="888"/>
      <c r="Q542" s="890">
        <f t="shared" si="7"/>
        <v>29</v>
      </c>
      <c r="R542" s="833" t="s">
        <v>1411</v>
      </c>
      <c r="S542" s="834"/>
      <c r="T542" s="853"/>
      <c r="U542" s="850"/>
      <c r="V542" s="850"/>
      <c r="W542" s="850"/>
      <c r="X542" s="850"/>
      <c r="Y542" s="850"/>
      <c r="Z542" s="850"/>
      <c r="AA542" s="850"/>
      <c r="AB542" s="850"/>
      <c r="AC542" s="850"/>
      <c r="AD542" s="853"/>
      <c r="AE542" s="853"/>
      <c r="AF542" s="835"/>
    </row>
    <row r="543" spans="1:32" ht="31.5">
      <c r="A543" s="827">
        <v>517</v>
      </c>
      <c r="B543" s="828" t="s">
        <v>1407</v>
      </c>
      <c r="C543" s="828" t="s">
        <v>1412</v>
      </c>
      <c r="D543" s="829" t="s">
        <v>1413</v>
      </c>
      <c r="E543" s="830" t="s">
        <v>4794</v>
      </c>
      <c r="F543" s="830" t="s">
        <v>4794</v>
      </c>
      <c r="G543" s="830" t="s">
        <v>4794</v>
      </c>
      <c r="H543" s="831">
        <v>2</v>
      </c>
      <c r="I543" s="830"/>
      <c r="J543" s="831">
        <v>1</v>
      </c>
      <c r="K543" s="830" t="s">
        <v>4794</v>
      </c>
      <c r="L543" s="831">
        <v>2</v>
      </c>
      <c r="M543" s="830" t="s">
        <v>4794</v>
      </c>
      <c r="N543" s="830" t="s">
        <v>4794</v>
      </c>
      <c r="O543" s="830" t="s">
        <v>4794</v>
      </c>
      <c r="P543" s="830" t="s">
        <v>4794</v>
      </c>
      <c r="Q543" s="832">
        <f t="shared" si="7"/>
        <v>5</v>
      </c>
      <c r="R543" s="833" t="s">
        <v>1411</v>
      </c>
      <c r="S543" s="834"/>
      <c r="T543" s="853"/>
      <c r="U543" s="850"/>
      <c r="V543" s="850"/>
      <c r="W543" s="850"/>
      <c r="X543" s="850"/>
      <c r="Y543" s="850"/>
      <c r="Z543" s="850"/>
      <c r="AA543" s="850"/>
      <c r="AB543" s="850"/>
      <c r="AC543" s="850"/>
      <c r="AD543" s="853"/>
      <c r="AE543" s="853"/>
      <c r="AF543" s="835"/>
    </row>
    <row r="544" spans="1:32" ht="31.5">
      <c r="A544" s="885">
        <v>518</v>
      </c>
      <c r="B544" s="828" t="s">
        <v>1407</v>
      </c>
      <c r="C544" s="828" t="s">
        <v>1414</v>
      </c>
      <c r="D544" s="829" t="s">
        <v>1415</v>
      </c>
      <c r="E544" s="830" t="s">
        <v>4794</v>
      </c>
      <c r="F544" s="830" t="s">
        <v>4794</v>
      </c>
      <c r="G544" s="830" t="s">
        <v>4794</v>
      </c>
      <c r="H544" s="831">
        <v>2</v>
      </c>
      <c r="I544" s="830" t="s">
        <v>4794</v>
      </c>
      <c r="J544" s="831">
        <v>1</v>
      </c>
      <c r="K544" s="830" t="s">
        <v>4794</v>
      </c>
      <c r="L544" s="831">
        <v>2</v>
      </c>
      <c r="M544" s="830" t="s">
        <v>4794</v>
      </c>
      <c r="N544" s="830" t="s">
        <v>4794</v>
      </c>
      <c r="O544" s="830" t="s">
        <v>4794</v>
      </c>
      <c r="P544" s="830" t="s">
        <v>4794</v>
      </c>
      <c r="Q544" s="832">
        <f t="shared" si="7"/>
        <v>5</v>
      </c>
      <c r="R544" s="833" t="s">
        <v>1411</v>
      </c>
      <c r="S544" s="834"/>
      <c r="T544" s="853"/>
      <c r="U544" s="853"/>
      <c r="V544" s="853"/>
      <c r="W544" s="853"/>
      <c r="X544" s="853"/>
      <c r="Y544" s="853"/>
      <c r="Z544" s="853"/>
      <c r="AA544" s="853"/>
      <c r="AB544" s="853"/>
      <c r="AC544" s="853"/>
      <c r="AD544" s="853"/>
      <c r="AE544" s="853"/>
      <c r="AF544" s="835"/>
    </row>
    <row r="545" spans="1:32" ht="31.5">
      <c r="A545" s="827">
        <v>519</v>
      </c>
      <c r="B545" s="828" t="s">
        <v>1407</v>
      </c>
      <c r="C545" s="828" t="s">
        <v>1416</v>
      </c>
      <c r="D545" s="829" t="s">
        <v>1417</v>
      </c>
      <c r="E545" s="830" t="s">
        <v>4794</v>
      </c>
      <c r="F545" s="830" t="s">
        <v>4794</v>
      </c>
      <c r="G545" s="830" t="s">
        <v>4794</v>
      </c>
      <c r="H545" s="831">
        <v>2</v>
      </c>
      <c r="I545" s="830" t="s">
        <v>4794</v>
      </c>
      <c r="J545" s="831">
        <v>1</v>
      </c>
      <c r="K545" s="830" t="s">
        <v>4794</v>
      </c>
      <c r="L545" s="831">
        <v>2</v>
      </c>
      <c r="M545" s="830" t="s">
        <v>4794</v>
      </c>
      <c r="N545" s="830" t="s">
        <v>4794</v>
      </c>
      <c r="O545" s="830" t="s">
        <v>4794</v>
      </c>
      <c r="P545" s="830" t="s">
        <v>4794</v>
      </c>
      <c r="Q545" s="832">
        <f t="shared" si="7"/>
        <v>5</v>
      </c>
      <c r="R545" s="833" t="s">
        <v>1411</v>
      </c>
      <c r="S545" s="834"/>
      <c r="T545" s="853"/>
      <c r="U545" s="853"/>
      <c r="V545" s="853"/>
      <c r="W545" s="853"/>
      <c r="X545" s="853"/>
      <c r="Y545" s="853"/>
      <c r="Z545" s="853"/>
      <c r="AA545" s="853"/>
      <c r="AB545" s="853"/>
      <c r="AC545" s="853"/>
      <c r="AD545" s="853"/>
      <c r="AE545" s="850"/>
      <c r="AF545" s="835"/>
    </row>
    <row r="546" spans="1:32" ht="21">
      <c r="A546" s="885">
        <v>520</v>
      </c>
      <c r="B546" s="828" t="s">
        <v>1407</v>
      </c>
      <c r="C546" s="828" t="s">
        <v>1418</v>
      </c>
      <c r="D546" s="829" t="s">
        <v>1419</v>
      </c>
      <c r="E546" s="830" t="s">
        <v>4794</v>
      </c>
      <c r="F546" s="830" t="s">
        <v>4794</v>
      </c>
      <c r="G546" s="830" t="s">
        <v>4794</v>
      </c>
      <c r="H546" s="831">
        <v>10</v>
      </c>
      <c r="I546" s="830" t="s">
        <v>4794</v>
      </c>
      <c r="J546" s="831">
        <v>10</v>
      </c>
      <c r="K546" s="831">
        <v>10</v>
      </c>
      <c r="L546" s="831">
        <v>10</v>
      </c>
      <c r="M546" s="830" t="s">
        <v>4794</v>
      </c>
      <c r="N546" s="830" t="s">
        <v>4794</v>
      </c>
      <c r="O546" s="830" t="s">
        <v>4794</v>
      </c>
      <c r="P546" s="830" t="s">
        <v>4794</v>
      </c>
      <c r="Q546" s="832">
        <f t="shared" si="7"/>
        <v>40</v>
      </c>
      <c r="R546" s="833" t="s">
        <v>3714</v>
      </c>
      <c r="S546" s="834"/>
      <c r="T546" s="853"/>
      <c r="U546" s="853"/>
      <c r="V546" s="853"/>
      <c r="W546" s="853"/>
      <c r="X546" s="853"/>
      <c r="Y546" s="853"/>
      <c r="Z546" s="853"/>
      <c r="AA546" s="853"/>
      <c r="AB546" s="853"/>
      <c r="AC546" s="853"/>
      <c r="AD546" s="853"/>
      <c r="AE546" s="853"/>
      <c r="AF546" s="835"/>
    </row>
    <row r="547" spans="1:32" ht="21">
      <c r="A547" s="827">
        <v>521</v>
      </c>
      <c r="B547" s="828" t="s">
        <v>1407</v>
      </c>
      <c r="C547" s="828" t="s">
        <v>1420</v>
      </c>
      <c r="D547" s="829" t="s">
        <v>3863</v>
      </c>
      <c r="E547" s="830" t="s">
        <v>4794</v>
      </c>
      <c r="F547" s="830" t="s">
        <v>4794</v>
      </c>
      <c r="G547" s="830" t="s">
        <v>4794</v>
      </c>
      <c r="H547" s="831">
        <v>5</v>
      </c>
      <c r="I547" s="831">
        <v>5</v>
      </c>
      <c r="J547" s="830" t="s">
        <v>4794</v>
      </c>
      <c r="K547" s="830" t="s">
        <v>4794</v>
      </c>
      <c r="L547" s="830" t="s">
        <v>4794</v>
      </c>
      <c r="M547" s="830" t="s">
        <v>4794</v>
      </c>
      <c r="N547" s="830" t="s">
        <v>4794</v>
      </c>
      <c r="O547" s="830" t="s">
        <v>4794</v>
      </c>
      <c r="P547" s="830" t="s">
        <v>4794</v>
      </c>
      <c r="Q547" s="832">
        <f t="shared" si="7"/>
        <v>10</v>
      </c>
      <c r="R547" s="833" t="s">
        <v>3714</v>
      </c>
      <c r="S547" s="834"/>
      <c r="T547" s="853"/>
      <c r="U547" s="853"/>
      <c r="V547" s="853"/>
      <c r="W547" s="853"/>
      <c r="X547" s="853"/>
      <c r="Y547" s="853"/>
      <c r="Z547" s="853"/>
      <c r="AA547" s="853"/>
      <c r="AB547" s="853"/>
      <c r="AC547" s="853"/>
      <c r="AD547" s="853"/>
      <c r="AE547" s="853"/>
      <c r="AF547" s="835"/>
    </row>
    <row r="548" spans="1:32" ht="21">
      <c r="A548" s="885">
        <v>522</v>
      </c>
      <c r="B548" s="828" t="s">
        <v>1407</v>
      </c>
      <c r="C548" s="828" t="s">
        <v>3864</v>
      </c>
      <c r="D548" s="829" t="s">
        <v>3865</v>
      </c>
      <c r="E548" s="830" t="s">
        <v>4794</v>
      </c>
      <c r="F548" s="830" t="s">
        <v>4794</v>
      </c>
      <c r="G548" s="830" t="s">
        <v>4794</v>
      </c>
      <c r="H548" s="830" t="s">
        <v>4794</v>
      </c>
      <c r="I548" s="831">
        <v>10</v>
      </c>
      <c r="J548" s="830" t="s">
        <v>4794</v>
      </c>
      <c r="K548" s="831">
        <v>5</v>
      </c>
      <c r="L548" s="830" t="s">
        <v>4794</v>
      </c>
      <c r="M548" s="830" t="s">
        <v>4794</v>
      </c>
      <c r="N548" s="830" t="s">
        <v>4794</v>
      </c>
      <c r="O548" s="830" t="s">
        <v>4794</v>
      </c>
      <c r="P548" s="830" t="s">
        <v>4794</v>
      </c>
      <c r="Q548" s="832">
        <f t="shared" si="7"/>
        <v>15</v>
      </c>
      <c r="R548" s="833" t="s">
        <v>3714</v>
      </c>
      <c r="S548" s="834"/>
      <c r="T548" s="853"/>
      <c r="U548" s="853"/>
      <c r="V548" s="853"/>
      <c r="W548" s="853"/>
      <c r="X548" s="853"/>
      <c r="Y548" s="853"/>
      <c r="Z548" s="853"/>
      <c r="AA548" s="853"/>
      <c r="AB548" s="853"/>
      <c r="AC548" s="853"/>
      <c r="AD548" s="853"/>
      <c r="AE548" s="850"/>
      <c r="AF548" s="835"/>
    </row>
    <row r="549" spans="1:32" ht="21">
      <c r="A549" s="827">
        <v>523</v>
      </c>
      <c r="B549" s="828" t="s">
        <v>1407</v>
      </c>
      <c r="C549" s="828" t="s">
        <v>3866</v>
      </c>
      <c r="D549" s="829" t="s">
        <v>3867</v>
      </c>
      <c r="E549" s="830" t="s">
        <v>4794</v>
      </c>
      <c r="F549" s="830" t="s">
        <v>4794</v>
      </c>
      <c r="G549" s="831">
        <v>10</v>
      </c>
      <c r="H549" s="831">
        <v>10</v>
      </c>
      <c r="I549" s="830" t="s">
        <v>4794</v>
      </c>
      <c r="J549" s="831">
        <v>10</v>
      </c>
      <c r="K549" s="830" t="s">
        <v>4794</v>
      </c>
      <c r="L549" s="830" t="s">
        <v>4794</v>
      </c>
      <c r="M549" s="830" t="s">
        <v>4794</v>
      </c>
      <c r="N549" s="830" t="s">
        <v>4794</v>
      </c>
      <c r="O549" s="830" t="s">
        <v>4794</v>
      </c>
      <c r="P549" s="830" t="s">
        <v>4794</v>
      </c>
      <c r="Q549" s="832">
        <f t="shared" si="7"/>
        <v>30</v>
      </c>
      <c r="R549" s="833" t="s">
        <v>3714</v>
      </c>
      <c r="S549" s="834"/>
      <c r="T549" s="853"/>
      <c r="U549" s="853"/>
      <c r="V549" s="853"/>
      <c r="W549" s="853"/>
      <c r="X549" s="853"/>
      <c r="Y549" s="853"/>
      <c r="Z549" s="853"/>
      <c r="AA549" s="853"/>
      <c r="AB549" s="853"/>
      <c r="AC549" s="853"/>
      <c r="AD549" s="853"/>
      <c r="AE549" s="853"/>
      <c r="AF549" s="835"/>
    </row>
    <row r="550" spans="1:32" ht="21">
      <c r="A550" s="885">
        <v>524</v>
      </c>
      <c r="B550" s="828" t="s">
        <v>1407</v>
      </c>
      <c r="C550" s="828" t="s">
        <v>3868</v>
      </c>
      <c r="D550" s="829" t="s">
        <v>3869</v>
      </c>
      <c r="E550" s="830" t="s">
        <v>4794</v>
      </c>
      <c r="F550" s="830" t="s">
        <v>4794</v>
      </c>
      <c r="G550" s="830" t="s">
        <v>4794</v>
      </c>
      <c r="H550" s="830" t="s">
        <v>4794</v>
      </c>
      <c r="I550" s="831">
        <v>10</v>
      </c>
      <c r="J550" s="830" t="s">
        <v>4794</v>
      </c>
      <c r="K550" s="831">
        <v>10</v>
      </c>
      <c r="L550" s="831">
        <v>10</v>
      </c>
      <c r="M550" s="830" t="s">
        <v>4794</v>
      </c>
      <c r="N550" s="830" t="s">
        <v>4794</v>
      </c>
      <c r="O550" s="830" t="s">
        <v>4794</v>
      </c>
      <c r="P550" s="830" t="s">
        <v>4794</v>
      </c>
      <c r="Q550" s="832">
        <f t="shared" si="7"/>
        <v>30</v>
      </c>
      <c r="R550" s="833" t="s">
        <v>3714</v>
      </c>
      <c r="S550" s="834"/>
      <c r="T550" s="850"/>
      <c r="U550" s="850"/>
      <c r="V550" s="850"/>
      <c r="W550" s="850"/>
      <c r="X550" s="850"/>
      <c r="Y550" s="850"/>
      <c r="Z550" s="850"/>
      <c r="AA550" s="850"/>
      <c r="AB550" s="850"/>
      <c r="AC550" s="850"/>
      <c r="AD550" s="850"/>
      <c r="AE550" s="850"/>
      <c r="AF550" s="835"/>
    </row>
    <row r="551" spans="1:32" ht="21">
      <c r="A551" s="827">
        <v>525</v>
      </c>
      <c r="B551" s="828" t="s">
        <v>1407</v>
      </c>
      <c r="C551" s="828" t="s">
        <v>3870</v>
      </c>
      <c r="D551" s="829" t="s">
        <v>3871</v>
      </c>
      <c r="E551" s="830" t="s">
        <v>4794</v>
      </c>
      <c r="F551" s="830" t="s">
        <v>4794</v>
      </c>
      <c r="G551" s="830" t="s">
        <v>4794</v>
      </c>
      <c r="H551" s="830" t="s">
        <v>4794</v>
      </c>
      <c r="I551" s="830" t="s">
        <v>4794</v>
      </c>
      <c r="J551" s="831">
        <v>10</v>
      </c>
      <c r="K551" s="830" t="s">
        <v>4794</v>
      </c>
      <c r="L551" s="830" t="s">
        <v>4794</v>
      </c>
      <c r="M551" s="830" t="s">
        <v>4794</v>
      </c>
      <c r="N551" s="830" t="s">
        <v>4794</v>
      </c>
      <c r="O551" s="830" t="s">
        <v>4794</v>
      </c>
      <c r="P551" s="830" t="s">
        <v>4794</v>
      </c>
      <c r="Q551" s="832">
        <f t="shared" si="7"/>
        <v>10</v>
      </c>
      <c r="R551" s="833" t="s">
        <v>3714</v>
      </c>
      <c r="S551" s="834"/>
      <c r="T551" s="853"/>
      <c r="U551" s="853"/>
      <c r="V551" s="853"/>
      <c r="W551" s="853"/>
      <c r="X551" s="853"/>
      <c r="Y551" s="853"/>
      <c r="Z551" s="853"/>
      <c r="AA551" s="853"/>
      <c r="AB551" s="853"/>
      <c r="AC551" s="853"/>
      <c r="AD551" s="853"/>
      <c r="AE551" s="853"/>
      <c r="AF551" s="835"/>
    </row>
    <row r="552" spans="1:32" ht="21">
      <c r="A552" s="885">
        <v>526</v>
      </c>
      <c r="B552" s="828" t="s">
        <v>1407</v>
      </c>
      <c r="C552" s="828" t="s">
        <v>3872</v>
      </c>
      <c r="D552" s="829" t="s">
        <v>3873</v>
      </c>
      <c r="E552" s="830" t="s">
        <v>4794</v>
      </c>
      <c r="F552" s="831">
        <v>2</v>
      </c>
      <c r="G552" s="830" t="s">
        <v>4794</v>
      </c>
      <c r="H552" s="831">
        <v>2</v>
      </c>
      <c r="I552" s="830" t="s">
        <v>4794</v>
      </c>
      <c r="J552" s="831">
        <v>2</v>
      </c>
      <c r="K552" s="830" t="s">
        <v>4794</v>
      </c>
      <c r="L552" s="831">
        <v>2</v>
      </c>
      <c r="M552" s="830" t="s">
        <v>4794</v>
      </c>
      <c r="N552" s="831">
        <v>2</v>
      </c>
      <c r="O552" s="830" t="s">
        <v>4794</v>
      </c>
      <c r="P552" s="830" t="s">
        <v>4794</v>
      </c>
      <c r="Q552" s="832">
        <f t="shared" si="7"/>
        <v>10</v>
      </c>
      <c r="R552" s="833" t="s">
        <v>3714</v>
      </c>
      <c r="S552" s="834"/>
      <c r="T552" s="853"/>
      <c r="U552" s="853"/>
      <c r="V552" s="853"/>
      <c r="W552" s="853"/>
      <c r="X552" s="853"/>
      <c r="Y552" s="853"/>
      <c r="Z552" s="853"/>
      <c r="AA552" s="853"/>
      <c r="AB552" s="853"/>
      <c r="AC552" s="853"/>
      <c r="AD552" s="853"/>
      <c r="AE552" s="853"/>
      <c r="AF552" s="835"/>
    </row>
    <row r="553" spans="1:32" ht="21">
      <c r="A553" s="827">
        <v>527</v>
      </c>
      <c r="B553" s="828" t="s">
        <v>1407</v>
      </c>
      <c r="C553" s="828">
        <v>3903971</v>
      </c>
      <c r="D553" s="829" t="s">
        <v>3874</v>
      </c>
      <c r="E553" s="830"/>
      <c r="F553" s="830"/>
      <c r="G553" s="831">
        <v>10</v>
      </c>
      <c r="H553" s="830"/>
      <c r="I553" s="831">
        <v>10</v>
      </c>
      <c r="J553" s="830"/>
      <c r="K553" s="831">
        <v>10</v>
      </c>
      <c r="L553" s="830"/>
      <c r="M553" s="831">
        <v>10</v>
      </c>
      <c r="N553" s="830"/>
      <c r="O553" s="830"/>
      <c r="P553" s="830"/>
      <c r="Q553" s="832">
        <f t="shared" si="7"/>
        <v>40</v>
      </c>
      <c r="R553" s="833" t="s">
        <v>4025</v>
      </c>
      <c r="S553" s="834"/>
      <c r="T553" s="850"/>
      <c r="U553" s="850"/>
      <c r="V553" s="850"/>
      <c r="W553" s="850"/>
      <c r="X553" s="850"/>
      <c r="Y553" s="850"/>
      <c r="Z553" s="850"/>
      <c r="AA553" s="850"/>
      <c r="AB553" s="850"/>
      <c r="AC553" s="853"/>
      <c r="AD553" s="853"/>
      <c r="AE553" s="853"/>
      <c r="AF553" s="835"/>
    </row>
    <row r="554" spans="1:32" ht="52.5">
      <c r="A554" s="885">
        <v>528</v>
      </c>
      <c r="B554" s="828" t="s">
        <v>1407</v>
      </c>
      <c r="C554" s="828">
        <v>6942826</v>
      </c>
      <c r="D554" s="829" t="s">
        <v>3875</v>
      </c>
      <c r="E554" s="830"/>
      <c r="F554" s="830"/>
      <c r="G554" s="831">
        <v>10</v>
      </c>
      <c r="H554" s="830"/>
      <c r="I554" s="831">
        <v>10</v>
      </c>
      <c r="J554" s="830"/>
      <c r="K554" s="831">
        <v>10</v>
      </c>
      <c r="L554" s="830"/>
      <c r="M554" s="831">
        <v>10</v>
      </c>
      <c r="N554" s="830"/>
      <c r="O554" s="830"/>
      <c r="P554" s="830"/>
      <c r="Q554" s="832">
        <f>SUM(E554:P554)</f>
        <v>40</v>
      </c>
      <c r="R554" s="833" t="s">
        <v>4025</v>
      </c>
      <c r="S554" s="834"/>
      <c r="T554" s="850"/>
      <c r="U554" s="850"/>
      <c r="V554" s="850"/>
      <c r="W554" s="850"/>
      <c r="X554" s="850"/>
      <c r="Y554" s="850"/>
      <c r="Z554" s="850"/>
      <c r="AA554" s="850"/>
      <c r="AB554" s="850"/>
      <c r="AC554" s="853"/>
      <c r="AD554" s="853"/>
      <c r="AE554" s="853"/>
      <c r="AF554" s="835"/>
    </row>
    <row r="555" spans="1:32" ht="31.5">
      <c r="A555" s="827">
        <v>529</v>
      </c>
      <c r="B555" s="828" t="s">
        <v>1407</v>
      </c>
      <c r="C555" s="828" t="s">
        <v>3876</v>
      </c>
      <c r="D555" s="829" t="s">
        <v>3877</v>
      </c>
      <c r="E555" s="830"/>
      <c r="F555" s="830" t="s">
        <v>4794</v>
      </c>
      <c r="G555" s="830"/>
      <c r="H555" s="831">
        <v>5</v>
      </c>
      <c r="I555" s="831">
        <v>2</v>
      </c>
      <c r="J555" s="831">
        <v>5</v>
      </c>
      <c r="K555" s="830"/>
      <c r="L555" s="830"/>
      <c r="M555" s="830"/>
      <c r="N555" s="831">
        <v>5</v>
      </c>
      <c r="O555" s="830"/>
      <c r="P555" s="831">
        <v>5</v>
      </c>
      <c r="Q555" s="832">
        <f t="shared" si="7"/>
        <v>22</v>
      </c>
      <c r="R555" s="833" t="s">
        <v>4025</v>
      </c>
      <c r="S555" s="834"/>
      <c r="T555" s="853"/>
      <c r="U555" s="853"/>
      <c r="V555" s="853"/>
      <c r="W555" s="853"/>
      <c r="X555" s="853"/>
      <c r="Y555" s="853"/>
      <c r="Z555" s="853"/>
      <c r="AA555" s="853"/>
      <c r="AB555" s="853"/>
      <c r="AC555" s="853"/>
      <c r="AD555" s="853"/>
      <c r="AE555" s="853"/>
      <c r="AF555" s="835"/>
    </row>
    <row r="556" spans="1:32" ht="42">
      <c r="A556" s="885">
        <v>530</v>
      </c>
      <c r="B556" s="828" t="s">
        <v>1407</v>
      </c>
      <c r="C556" s="828" t="s">
        <v>3878</v>
      </c>
      <c r="D556" s="829" t="s">
        <v>3879</v>
      </c>
      <c r="E556" s="830" t="s">
        <v>4794</v>
      </c>
      <c r="F556" s="830"/>
      <c r="G556" s="830" t="s">
        <v>4794</v>
      </c>
      <c r="H556" s="830"/>
      <c r="I556" s="830" t="s">
        <v>4794</v>
      </c>
      <c r="J556" s="831">
        <v>50</v>
      </c>
      <c r="K556" s="830" t="s">
        <v>4794</v>
      </c>
      <c r="L556" s="830"/>
      <c r="M556" s="831">
        <v>50</v>
      </c>
      <c r="N556" s="830"/>
      <c r="O556" s="830" t="s">
        <v>4794</v>
      </c>
      <c r="P556" s="830" t="s">
        <v>4794</v>
      </c>
      <c r="Q556" s="832">
        <f t="shared" si="7"/>
        <v>100</v>
      </c>
      <c r="R556" s="833" t="s">
        <v>3714</v>
      </c>
      <c r="S556" s="834"/>
      <c r="T556" s="850"/>
      <c r="U556" s="850"/>
      <c r="V556" s="850"/>
      <c r="W556" s="850"/>
      <c r="X556" s="850"/>
      <c r="Y556" s="850"/>
      <c r="Z556" s="850"/>
      <c r="AA556" s="850"/>
      <c r="AB556" s="850"/>
      <c r="AC556" s="850"/>
      <c r="AD556" s="850"/>
      <c r="AE556" s="850"/>
      <c r="AF556" s="835"/>
    </row>
    <row r="557" spans="1:32" ht="21">
      <c r="A557" s="827">
        <v>531</v>
      </c>
      <c r="B557" s="828" t="s">
        <v>1407</v>
      </c>
      <c r="C557" s="828" t="s">
        <v>3880</v>
      </c>
      <c r="D557" s="829" t="s">
        <v>3881</v>
      </c>
      <c r="E557" s="830" t="s">
        <v>4794</v>
      </c>
      <c r="F557" s="830"/>
      <c r="G557" s="831">
        <v>100</v>
      </c>
      <c r="H557" s="830"/>
      <c r="I557" s="831">
        <v>50</v>
      </c>
      <c r="J557" s="830"/>
      <c r="K557" s="831">
        <v>50</v>
      </c>
      <c r="L557" s="830"/>
      <c r="M557" s="831">
        <v>100</v>
      </c>
      <c r="N557" s="830" t="s">
        <v>4794</v>
      </c>
      <c r="O557" s="830" t="s">
        <v>4794</v>
      </c>
      <c r="P557" s="830" t="s">
        <v>4794</v>
      </c>
      <c r="Q557" s="832">
        <f t="shared" si="7"/>
        <v>300</v>
      </c>
      <c r="R557" s="833" t="s">
        <v>3714</v>
      </c>
      <c r="S557" s="834"/>
      <c r="T557" s="850"/>
      <c r="U557" s="850"/>
      <c r="V557" s="850"/>
      <c r="W557" s="850"/>
      <c r="X557" s="850"/>
      <c r="Y557" s="850"/>
      <c r="Z557" s="850"/>
      <c r="AA557" s="850"/>
      <c r="AB557" s="850"/>
      <c r="AC557" s="850"/>
      <c r="AD557" s="850"/>
      <c r="AE557" s="853"/>
      <c r="AF557" s="835"/>
    </row>
    <row r="558" spans="1:32" ht="31.5">
      <c r="A558" s="885">
        <v>532</v>
      </c>
      <c r="B558" s="828" t="s">
        <v>1407</v>
      </c>
      <c r="C558" s="828" t="s">
        <v>3882</v>
      </c>
      <c r="D558" s="829" t="s">
        <v>3883</v>
      </c>
      <c r="E558" s="830" t="s">
        <v>4794</v>
      </c>
      <c r="F558" s="830" t="s">
        <v>4794</v>
      </c>
      <c r="G558" s="831">
        <v>1</v>
      </c>
      <c r="H558" s="830"/>
      <c r="I558" s="830"/>
      <c r="J558" s="831">
        <v>1</v>
      </c>
      <c r="K558" s="830"/>
      <c r="L558" s="830" t="s">
        <v>4794</v>
      </c>
      <c r="M558" s="831">
        <v>1</v>
      </c>
      <c r="N558" s="830" t="s">
        <v>4794</v>
      </c>
      <c r="O558" s="830" t="s">
        <v>4794</v>
      </c>
      <c r="P558" s="830" t="s">
        <v>4794</v>
      </c>
      <c r="Q558" s="832">
        <f t="shared" si="7"/>
        <v>3</v>
      </c>
      <c r="R558" s="833" t="s">
        <v>1411</v>
      </c>
      <c r="S558" s="834"/>
      <c r="T558" s="853"/>
      <c r="U558" s="853"/>
      <c r="V558" s="853"/>
      <c r="W558" s="853"/>
      <c r="X558" s="853"/>
      <c r="Y558" s="853"/>
      <c r="Z558" s="853"/>
      <c r="AA558" s="853"/>
      <c r="AB558" s="853"/>
      <c r="AC558" s="853"/>
      <c r="AD558" s="853"/>
      <c r="AE558" s="853"/>
      <c r="AF558" s="835"/>
    </row>
    <row r="559" spans="1:32" ht="31.5">
      <c r="A559" s="827">
        <v>533</v>
      </c>
      <c r="B559" s="828" t="s">
        <v>1407</v>
      </c>
      <c r="C559" s="828" t="s">
        <v>3884</v>
      </c>
      <c r="D559" s="829" t="s">
        <v>3885</v>
      </c>
      <c r="E559" s="830" t="s">
        <v>4794</v>
      </c>
      <c r="F559" s="830" t="s">
        <v>4794</v>
      </c>
      <c r="G559" s="830" t="s">
        <v>4794</v>
      </c>
      <c r="H559" s="831">
        <v>1</v>
      </c>
      <c r="I559" s="830"/>
      <c r="J559" s="830" t="s">
        <v>4794</v>
      </c>
      <c r="K559" s="831">
        <v>1</v>
      </c>
      <c r="L559" s="830" t="s">
        <v>4794</v>
      </c>
      <c r="M559" s="831">
        <v>1</v>
      </c>
      <c r="N559" s="830" t="s">
        <v>4794</v>
      </c>
      <c r="O559" s="830" t="s">
        <v>4794</v>
      </c>
      <c r="P559" s="830" t="s">
        <v>4794</v>
      </c>
      <c r="Q559" s="832">
        <f t="shared" si="7"/>
        <v>3</v>
      </c>
      <c r="R559" s="833" t="s">
        <v>1411</v>
      </c>
      <c r="S559" s="834"/>
      <c r="T559" s="853"/>
      <c r="U559" s="853"/>
      <c r="V559" s="853"/>
      <c r="W559" s="853"/>
      <c r="X559" s="853"/>
      <c r="Y559" s="853"/>
      <c r="Z559" s="853"/>
      <c r="AA559" s="853"/>
      <c r="AB559" s="853"/>
      <c r="AC559" s="853"/>
      <c r="AD559" s="853"/>
      <c r="AE559" s="853"/>
      <c r="AF559" s="835"/>
    </row>
    <row r="560" spans="1:32" ht="21">
      <c r="A560" s="885">
        <v>534</v>
      </c>
      <c r="B560" s="828" t="s">
        <v>1407</v>
      </c>
      <c r="C560" s="828" t="s">
        <v>3886</v>
      </c>
      <c r="D560" s="829" t="s">
        <v>3887</v>
      </c>
      <c r="E560" s="830" t="s">
        <v>4794</v>
      </c>
      <c r="F560" s="830" t="s">
        <v>4794</v>
      </c>
      <c r="G560" s="831">
        <v>60</v>
      </c>
      <c r="H560" s="830" t="s">
        <v>4794</v>
      </c>
      <c r="I560" s="830" t="s">
        <v>4794</v>
      </c>
      <c r="J560" s="830" t="s">
        <v>4794</v>
      </c>
      <c r="K560" s="830" t="s">
        <v>4794</v>
      </c>
      <c r="L560" s="831">
        <v>40</v>
      </c>
      <c r="M560" s="830" t="s">
        <v>4794</v>
      </c>
      <c r="N560" s="830" t="s">
        <v>4794</v>
      </c>
      <c r="O560" s="830" t="s">
        <v>4794</v>
      </c>
      <c r="P560" s="830" t="s">
        <v>4794</v>
      </c>
      <c r="Q560" s="832">
        <f t="shared" si="7"/>
        <v>100</v>
      </c>
      <c r="R560" s="833" t="s">
        <v>3714</v>
      </c>
      <c r="S560" s="834"/>
      <c r="T560" s="853"/>
      <c r="U560" s="853"/>
      <c r="V560" s="853"/>
      <c r="W560" s="853"/>
      <c r="X560" s="853"/>
      <c r="Y560" s="853"/>
      <c r="Z560" s="853"/>
      <c r="AA560" s="853"/>
      <c r="AB560" s="853"/>
      <c r="AC560" s="853"/>
      <c r="AD560" s="853"/>
      <c r="AE560" s="853"/>
      <c r="AF560" s="835"/>
    </row>
    <row r="561" spans="1:32" ht="42">
      <c r="A561" s="827">
        <v>535</v>
      </c>
      <c r="B561" s="828" t="s">
        <v>1407</v>
      </c>
      <c r="C561" s="828" t="s">
        <v>3888</v>
      </c>
      <c r="D561" s="829" t="s">
        <v>3889</v>
      </c>
      <c r="E561" s="830" t="s">
        <v>4794</v>
      </c>
      <c r="F561" s="830" t="s">
        <v>4794</v>
      </c>
      <c r="G561" s="831">
        <v>1000</v>
      </c>
      <c r="H561" s="830"/>
      <c r="I561" s="830"/>
      <c r="J561" s="831">
        <v>500</v>
      </c>
      <c r="K561" s="830" t="s">
        <v>4794</v>
      </c>
      <c r="L561" s="831">
        <v>500</v>
      </c>
      <c r="M561" s="830" t="s">
        <v>4794</v>
      </c>
      <c r="N561" s="830" t="s">
        <v>4794</v>
      </c>
      <c r="O561" s="830" t="s">
        <v>4794</v>
      </c>
      <c r="P561" s="830" t="s">
        <v>4794</v>
      </c>
      <c r="Q561" s="832">
        <f t="shared" si="7"/>
        <v>2000</v>
      </c>
      <c r="R561" s="833" t="s">
        <v>4025</v>
      </c>
      <c r="S561" s="834"/>
      <c r="T561" s="853"/>
      <c r="U561" s="853"/>
      <c r="V561" s="853"/>
      <c r="W561" s="853"/>
      <c r="X561" s="853"/>
      <c r="Y561" s="853"/>
      <c r="Z561" s="853"/>
      <c r="AA561" s="853"/>
      <c r="AB561" s="853"/>
      <c r="AC561" s="853"/>
      <c r="AD561" s="853"/>
      <c r="AE561" s="853"/>
      <c r="AF561" s="835"/>
    </row>
    <row r="562" spans="1:32" ht="31.5">
      <c r="A562" s="885">
        <v>536</v>
      </c>
      <c r="B562" s="828" t="s">
        <v>1407</v>
      </c>
      <c r="C562" s="828" t="s">
        <v>3890</v>
      </c>
      <c r="D562" s="829" t="s">
        <v>3891</v>
      </c>
      <c r="E562" s="831">
        <v>5</v>
      </c>
      <c r="F562" s="831">
        <v>5</v>
      </c>
      <c r="G562" s="830" t="s">
        <v>4794</v>
      </c>
      <c r="H562" s="831">
        <v>5</v>
      </c>
      <c r="I562" s="830" t="s">
        <v>4794</v>
      </c>
      <c r="J562" s="830" t="s">
        <v>4794</v>
      </c>
      <c r="K562" s="831">
        <v>5</v>
      </c>
      <c r="L562" s="830" t="s">
        <v>4794</v>
      </c>
      <c r="M562" s="831">
        <v>5</v>
      </c>
      <c r="N562" s="831">
        <v>5</v>
      </c>
      <c r="O562" s="831">
        <v>5</v>
      </c>
      <c r="P562" s="830" t="s">
        <v>4794</v>
      </c>
      <c r="Q562" s="832">
        <f t="shared" si="7"/>
        <v>35</v>
      </c>
      <c r="R562" s="833" t="s">
        <v>4025</v>
      </c>
      <c r="S562" s="834"/>
      <c r="T562" s="853"/>
      <c r="U562" s="853"/>
      <c r="V562" s="853"/>
      <c r="W562" s="853"/>
      <c r="X562" s="853"/>
      <c r="Y562" s="853"/>
      <c r="Z562" s="853"/>
      <c r="AA562" s="853"/>
      <c r="AB562" s="853"/>
      <c r="AC562" s="853"/>
      <c r="AD562" s="853"/>
      <c r="AE562" s="853"/>
      <c r="AF562" s="835"/>
    </row>
    <row r="563" spans="1:32">
      <c r="A563" s="827">
        <v>537</v>
      </c>
      <c r="B563" s="828" t="s">
        <v>1407</v>
      </c>
      <c r="C563" s="828" t="s">
        <v>3892</v>
      </c>
      <c r="D563" s="829" t="s">
        <v>3893</v>
      </c>
      <c r="E563" s="831">
        <v>3</v>
      </c>
      <c r="F563" s="831">
        <v>3</v>
      </c>
      <c r="G563" s="831">
        <v>3</v>
      </c>
      <c r="H563" s="831">
        <v>3</v>
      </c>
      <c r="I563" s="831">
        <v>3</v>
      </c>
      <c r="J563" s="831">
        <v>3</v>
      </c>
      <c r="K563" s="831">
        <v>3</v>
      </c>
      <c r="L563" s="831">
        <v>3</v>
      </c>
      <c r="M563" s="831">
        <v>3</v>
      </c>
      <c r="N563" s="831">
        <v>3</v>
      </c>
      <c r="O563" s="831">
        <v>3</v>
      </c>
      <c r="P563" s="831">
        <v>3</v>
      </c>
      <c r="Q563" s="832">
        <f t="shared" si="7"/>
        <v>36</v>
      </c>
      <c r="R563" s="833" t="s">
        <v>4025</v>
      </c>
      <c r="S563" s="834"/>
      <c r="T563" s="853"/>
      <c r="U563" s="853"/>
      <c r="V563" s="853"/>
      <c r="W563" s="853"/>
      <c r="X563" s="853"/>
      <c r="Y563" s="853"/>
      <c r="Z563" s="853"/>
      <c r="AA563" s="853"/>
      <c r="AB563" s="853"/>
      <c r="AC563" s="853"/>
      <c r="AD563" s="853"/>
      <c r="AE563" s="853"/>
      <c r="AF563" s="835"/>
    </row>
    <row r="564" spans="1:32">
      <c r="A564" s="885">
        <v>538</v>
      </c>
      <c r="B564" s="828" t="s">
        <v>1407</v>
      </c>
      <c r="C564" s="828" t="s">
        <v>3894</v>
      </c>
      <c r="D564" s="829" t="s">
        <v>3895</v>
      </c>
      <c r="E564" s="831">
        <v>1</v>
      </c>
      <c r="F564" s="831">
        <v>1</v>
      </c>
      <c r="G564" s="831">
        <v>1</v>
      </c>
      <c r="H564" s="831">
        <v>1</v>
      </c>
      <c r="I564" s="831">
        <v>1</v>
      </c>
      <c r="J564" s="831">
        <v>1</v>
      </c>
      <c r="K564" s="831">
        <v>1</v>
      </c>
      <c r="L564" s="831">
        <v>1</v>
      </c>
      <c r="M564" s="831">
        <v>1</v>
      </c>
      <c r="N564" s="831">
        <v>1</v>
      </c>
      <c r="O564" s="831">
        <v>1</v>
      </c>
      <c r="P564" s="831">
        <v>1</v>
      </c>
      <c r="Q564" s="832">
        <f t="shared" si="7"/>
        <v>12</v>
      </c>
      <c r="R564" s="833" t="s">
        <v>3714</v>
      </c>
      <c r="S564" s="834"/>
      <c r="T564" s="853"/>
      <c r="U564" s="853"/>
      <c r="V564" s="853"/>
      <c r="W564" s="853"/>
      <c r="X564" s="853"/>
      <c r="Y564" s="853"/>
      <c r="Z564" s="853"/>
      <c r="AA564" s="853"/>
      <c r="AB564" s="853"/>
      <c r="AC564" s="853"/>
      <c r="AD564" s="853"/>
      <c r="AE564" s="853"/>
      <c r="AF564" s="835"/>
    </row>
    <row r="565" spans="1:32">
      <c r="A565" s="827">
        <v>539</v>
      </c>
      <c r="B565" s="828" t="s">
        <v>1407</v>
      </c>
      <c r="C565" s="828" t="s">
        <v>3896</v>
      </c>
      <c r="D565" s="829" t="s">
        <v>3897</v>
      </c>
      <c r="E565" s="831">
        <v>2</v>
      </c>
      <c r="F565" s="831">
        <v>2</v>
      </c>
      <c r="G565" s="831">
        <v>2</v>
      </c>
      <c r="H565" s="831">
        <v>2</v>
      </c>
      <c r="I565" s="831">
        <v>2</v>
      </c>
      <c r="J565" s="831">
        <v>2</v>
      </c>
      <c r="K565" s="831">
        <v>2</v>
      </c>
      <c r="L565" s="831">
        <v>2</v>
      </c>
      <c r="M565" s="831">
        <v>2</v>
      </c>
      <c r="N565" s="831">
        <v>2</v>
      </c>
      <c r="O565" s="831">
        <v>2</v>
      </c>
      <c r="P565" s="831">
        <v>2</v>
      </c>
      <c r="Q565" s="832">
        <f t="shared" si="7"/>
        <v>24</v>
      </c>
      <c r="R565" s="833" t="s">
        <v>3714</v>
      </c>
      <c r="S565" s="834"/>
      <c r="T565" s="853"/>
      <c r="U565" s="853"/>
      <c r="V565" s="853"/>
      <c r="W565" s="853"/>
      <c r="X565" s="853"/>
      <c r="Y565" s="853"/>
      <c r="Z565" s="853"/>
      <c r="AA565" s="853"/>
      <c r="AB565" s="853"/>
      <c r="AC565" s="853"/>
      <c r="AD565" s="853"/>
      <c r="AE565" s="853"/>
      <c r="AF565" s="835"/>
    </row>
    <row r="566" spans="1:32" ht="21">
      <c r="A566" s="885">
        <v>540</v>
      </c>
      <c r="B566" s="828" t="s">
        <v>1407</v>
      </c>
      <c r="C566" s="828" t="s">
        <v>3898</v>
      </c>
      <c r="D566" s="829" t="s">
        <v>3899</v>
      </c>
      <c r="E566" s="830" t="s">
        <v>4794</v>
      </c>
      <c r="F566" s="830" t="s">
        <v>4794</v>
      </c>
      <c r="G566" s="830" t="s">
        <v>4794</v>
      </c>
      <c r="H566" s="830" t="s">
        <v>4794</v>
      </c>
      <c r="I566" s="831">
        <v>110</v>
      </c>
      <c r="J566" s="830" t="s">
        <v>4794</v>
      </c>
      <c r="K566" s="830" t="s">
        <v>4794</v>
      </c>
      <c r="L566" s="830" t="s">
        <v>4794</v>
      </c>
      <c r="M566" s="830" t="s">
        <v>4794</v>
      </c>
      <c r="N566" s="830" t="s">
        <v>4794</v>
      </c>
      <c r="O566" s="830" t="s">
        <v>4794</v>
      </c>
      <c r="P566" s="830" t="s">
        <v>4794</v>
      </c>
      <c r="Q566" s="832">
        <f t="shared" ref="Q566:Q658" si="8">SUM(E566:P566)</f>
        <v>110</v>
      </c>
      <c r="R566" s="833" t="s">
        <v>3900</v>
      </c>
      <c r="S566" s="834"/>
      <c r="T566" s="853"/>
      <c r="U566" s="853"/>
      <c r="V566" s="853"/>
      <c r="W566" s="853"/>
      <c r="X566" s="853"/>
      <c r="Y566" s="853"/>
      <c r="Z566" s="853"/>
      <c r="AA566" s="853"/>
      <c r="AB566" s="853"/>
      <c r="AC566" s="853"/>
      <c r="AD566" s="853"/>
      <c r="AE566" s="853"/>
      <c r="AF566" s="835"/>
    </row>
    <row r="567" spans="1:32" ht="21">
      <c r="A567" s="827">
        <v>541</v>
      </c>
      <c r="B567" s="828" t="s">
        <v>1407</v>
      </c>
      <c r="C567" s="828" t="s">
        <v>3901</v>
      </c>
      <c r="D567" s="829" t="s">
        <v>3902</v>
      </c>
      <c r="E567" s="830" t="s">
        <v>4794</v>
      </c>
      <c r="F567" s="830" t="s">
        <v>4794</v>
      </c>
      <c r="G567" s="830" t="s">
        <v>4794</v>
      </c>
      <c r="H567" s="830" t="s">
        <v>4794</v>
      </c>
      <c r="I567" s="831">
        <v>240</v>
      </c>
      <c r="J567" s="830" t="s">
        <v>4794</v>
      </c>
      <c r="K567" s="830" t="s">
        <v>4794</v>
      </c>
      <c r="L567" s="830" t="s">
        <v>4794</v>
      </c>
      <c r="M567" s="830" t="s">
        <v>4794</v>
      </c>
      <c r="N567" s="830" t="s">
        <v>4794</v>
      </c>
      <c r="O567" s="830" t="s">
        <v>4794</v>
      </c>
      <c r="P567" s="830" t="s">
        <v>4794</v>
      </c>
      <c r="Q567" s="832">
        <f t="shared" si="8"/>
        <v>240</v>
      </c>
      <c r="R567" s="833" t="s">
        <v>3900</v>
      </c>
      <c r="S567" s="834"/>
      <c r="T567" s="853"/>
      <c r="U567" s="853"/>
      <c r="V567" s="853"/>
      <c r="W567" s="853"/>
      <c r="X567" s="853"/>
      <c r="Y567" s="853"/>
      <c r="Z567" s="853"/>
      <c r="AA567" s="853"/>
      <c r="AB567" s="853"/>
      <c r="AC567" s="853"/>
      <c r="AD567" s="853"/>
      <c r="AE567" s="853"/>
      <c r="AF567" s="835"/>
    </row>
    <row r="568" spans="1:32">
      <c r="A568" s="885">
        <v>542</v>
      </c>
      <c r="B568" s="828" t="s">
        <v>1407</v>
      </c>
      <c r="C568" s="828" t="s">
        <v>3903</v>
      </c>
      <c r="D568" s="829" t="s">
        <v>3904</v>
      </c>
      <c r="E568" s="831">
        <v>10</v>
      </c>
      <c r="F568" s="831">
        <v>10</v>
      </c>
      <c r="G568" s="831">
        <v>10</v>
      </c>
      <c r="H568" s="831">
        <v>10</v>
      </c>
      <c r="I568" s="831">
        <v>10</v>
      </c>
      <c r="J568" s="831">
        <v>10</v>
      </c>
      <c r="K568" s="831">
        <v>10</v>
      </c>
      <c r="L568" s="831">
        <v>10</v>
      </c>
      <c r="M568" s="831">
        <v>10</v>
      </c>
      <c r="N568" s="831">
        <v>10</v>
      </c>
      <c r="O568" s="831">
        <v>10</v>
      </c>
      <c r="P568" s="831">
        <v>10</v>
      </c>
      <c r="Q568" s="832">
        <f t="shared" si="8"/>
        <v>120</v>
      </c>
      <c r="R568" s="833" t="s">
        <v>236</v>
      </c>
      <c r="S568" s="834"/>
      <c r="T568" s="853"/>
      <c r="U568" s="850"/>
      <c r="V568" s="850"/>
      <c r="W568" s="850"/>
      <c r="X568" s="850"/>
      <c r="Y568" s="850"/>
      <c r="Z568" s="850"/>
      <c r="AA568" s="850"/>
      <c r="AB568" s="850"/>
      <c r="AC568" s="850"/>
      <c r="AD568" s="850"/>
      <c r="AE568" s="850"/>
      <c r="AF568" s="835"/>
    </row>
    <row r="569" spans="1:32" ht="21">
      <c r="A569" s="827">
        <v>543</v>
      </c>
      <c r="B569" s="828" t="s">
        <v>1407</v>
      </c>
      <c r="C569" s="828" t="s">
        <v>3905</v>
      </c>
      <c r="D569" s="829" t="s">
        <v>3906</v>
      </c>
      <c r="E569" s="830" t="s">
        <v>4794</v>
      </c>
      <c r="F569" s="830"/>
      <c r="G569" s="830" t="s">
        <v>4794</v>
      </c>
      <c r="H569" s="831">
        <v>10</v>
      </c>
      <c r="I569" s="830" t="s">
        <v>4794</v>
      </c>
      <c r="J569" s="831">
        <v>10</v>
      </c>
      <c r="K569" s="830" t="s">
        <v>4794</v>
      </c>
      <c r="L569" s="831">
        <v>10</v>
      </c>
      <c r="M569" s="830" t="s">
        <v>4794</v>
      </c>
      <c r="N569" s="831">
        <v>10</v>
      </c>
      <c r="O569" s="830" t="s">
        <v>4794</v>
      </c>
      <c r="P569" s="830" t="s">
        <v>4794</v>
      </c>
      <c r="Q569" s="832">
        <f t="shared" si="8"/>
        <v>40</v>
      </c>
      <c r="R569" s="833" t="s">
        <v>3719</v>
      </c>
      <c r="S569" s="834"/>
      <c r="T569" s="853"/>
      <c r="U569" s="850"/>
      <c r="V569" s="850"/>
      <c r="W569" s="850"/>
      <c r="X569" s="850"/>
      <c r="Y569" s="850"/>
      <c r="Z569" s="850"/>
      <c r="AA569" s="850"/>
      <c r="AB569" s="850"/>
      <c r="AC569" s="850"/>
      <c r="AD569" s="850"/>
      <c r="AE569" s="850"/>
      <c r="AF569" s="835"/>
    </row>
    <row r="570" spans="1:32" ht="31.5">
      <c r="A570" s="885">
        <v>544</v>
      </c>
      <c r="B570" s="828" t="s">
        <v>1407</v>
      </c>
      <c r="C570" s="828" t="s">
        <v>3907</v>
      </c>
      <c r="D570" s="829" t="s">
        <v>3908</v>
      </c>
      <c r="E570" s="830" t="s">
        <v>4794</v>
      </c>
      <c r="F570" s="830" t="s">
        <v>4794</v>
      </c>
      <c r="G570" s="830" t="s">
        <v>4794</v>
      </c>
      <c r="H570" s="830" t="s">
        <v>4794</v>
      </c>
      <c r="I570" s="831">
        <v>10</v>
      </c>
      <c r="J570" s="830" t="s">
        <v>4794</v>
      </c>
      <c r="K570" s="830"/>
      <c r="L570" s="830" t="s">
        <v>4794</v>
      </c>
      <c r="M570" s="830" t="s">
        <v>4794</v>
      </c>
      <c r="N570" s="830" t="s">
        <v>4794</v>
      </c>
      <c r="O570" s="830" t="s">
        <v>4794</v>
      </c>
      <c r="P570" s="830" t="s">
        <v>4794</v>
      </c>
      <c r="Q570" s="832">
        <f t="shared" si="8"/>
        <v>10</v>
      </c>
      <c r="R570" s="833" t="s">
        <v>3900</v>
      </c>
      <c r="S570" s="834"/>
      <c r="T570" s="853"/>
      <c r="U570" s="850"/>
      <c r="V570" s="850"/>
      <c r="W570" s="850"/>
      <c r="X570" s="850"/>
      <c r="Y570" s="850"/>
      <c r="Z570" s="850"/>
      <c r="AA570" s="850"/>
      <c r="AB570" s="850"/>
      <c r="AC570" s="850"/>
      <c r="AD570" s="850"/>
      <c r="AE570" s="850"/>
      <c r="AF570" s="835"/>
    </row>
    <row r="571" spans="1:32" ht="21">
      <c r="A571" s="827">
        <v>545</v>
      </c>
      <c r="B571" s="828" t="s">
        <v>1407</v>
      </c>
      <c r="C571" s="828" t="s">
        <v>3909</v>
      </c>
      <c r="D571" s="829" t="s">
        <v>3910</v>
      </c>
      <c r="E571" s="830" t="s">
        <v>4794</v>
      </c>
      <c r="F571" s="830"/>
      <c r="G571" s="830" t="s">
        <v>4794</v>
      </c>
      <c r="H571" s="831">
        <v>5</v>
      </c>
      <c r="I571" s="830" t="s">
        <v>4794</v>
      </c>
      <c r="J571" s="830" t="s">
        <v>4794</v>
      </c>
      <c r="K571" s="831">
        <v>5</v>
      </c>
      <c r="L571" s="830" t="s">
        <v>4794</v>
      </c>
      <c r="M571" s="830" t="s">
        <v>4794</v>
      </c>
      <c r="N571" s="830" t="s">
        <v>4794</v>
      </c>
      <c r="O571" s="830" t="s">
        <v>4794</v>
      </c>
      <c r="P571" s="830" t="s">
        <v>4794</v>
      </c>
      <c r="Q571" s="832">
        <f t="shared" si="8"/>
        <v>10</v>
      </c>
      <c r="R571" s="833" t="s">
        <v>3900</v>
      </c>
      <c r="S571" s="834"/>
      <c r="T571" s="850"/>
      <c r="U571" s="850"/>
      <c r="V571" s="850"/>
      <c r="W571" s="850"/>
      <c r="X571" s="850"/>
      <c r="Y571" s="850"/>
      <c r="Z571" s="850"/>
      <c r="AA571" s="850"/>
      <c r="AB571" s="850"/>
      <c r="AC571" s="850"/>
      <c r="AD571" s="850"/>
      <c r="AE571" s="850"/>
      <c r="AF571" s="835"/>
    </row>
    <row r="572" spans="1:32" ht="21">
      <c r="A572" s="885">
        <v>546</v>
      </c>
      <c r="B572" s="828" t="s">
        <v>1407</v>
      </c>
      <c r="C572" s="828" t="s">
        <v>3911</v>
      </c>
      <c r="D572" s="829" t="s">
        <v>3912</v>
      </c>
      <c r="E572" s="830" t="s">
        <v>4794</v>
      </c>
      <c r="F572" s="830"/>
      <c r="G572" s="831">
        <v>0.5</v>
      </c>
      <c r="H572" s="830"/>
      <c r="I572" s="831">
        <v>1</v>
      </c>
      <c r="J572" s="830"/>
      <c r="K572" s="831">
        <v>0.5</v>
      </c>
      <c r="L572" s="830" t="s">
        <v>4794</v>
      </c>
      <c r="M572" s="831">
        <v>0.5</v>
      </c>
      <c r="N572" s="830"/>
      <c r="O572" s="830" t="s">
        <v>4794</v>
      </c>
      <c r="P572" s="830"/>
      <c r="Q572" s="832">
        <f t="shared" si="8"/>
        <v>2.5</v>
      </c>
      <c r="R572" s="833" t="s">
        <v>3719</v>
      </c>
      <c r="S572" s="834"/>
      <c r="T572" s="850"/>
      <c r="U572" s="850"/>
      <c r="V572" s="850"/>
      <c r="W572" s="850"/>
      <c r="X572" s="850"/>
      <c r="Y572" s="850"/>
      <c r="Z572" s="850"/>
      <c r="AA572" s="850"/>
      <c r="AB572" s="850"/>
      <c r="AC572" s="850"/>
      <c r="AD572" s="850"/>
      <c r="AE572" s="850"/>
      <c r="AF572" s="835"/>
    </row>
    <row r="573" spans="1:32" ht="21">
      <c r="A573" s="827">
        <v>547</v>
      </c>
      <c r="B573" s="828" t="s">
        <v>1407</v>
      </c>
      <c r="C573" s="828" t="s">
        <v>3913</v>
      </c>
      <c r="D573" s="829" t="s">
        <v>3914</v>
      </c>
      <c r="E573" s="830" t="s">
        <v>4794</v>
      </c>
      <c r="F573" s="830" t="s">
        <v>4794</v>
      </c>
      <c r="G573" s="830" t="s">
        <v>4794</v>
      </c>
      <c r="H573" s="830" t="s">
        <v>4794</v>
      </c>
      <c r="I573" s="830" t="s">
        <v>4794</v>
      </c>
      <c r="J573" s="831">
        <v>100</v>
      </c>
      <c r="K573" s="830" t="s">
        <v>4794</v>
      </c>
      <c r="L573" s="830" t="s">
        <v>4794</v>
      </c>
      <c r="M573" s="830" t="s">
        <v>4794</v>
      </c>
      <c r="N573" s="830" t="s">
        <v>4794</v>
      </c>
      <c r="O573" s="830" t="s">
        <v>4794</v>
      </c>
      <c r="P573" s="830" t="s">
        <v>4794</v>
      </c>
      <c r="Q573" s="832">
        <f t="shared" si="8"/>
        <v>100</v>
      </c>
      <c r="R573" s="833" t="s">
        <v>2261</v>
      </c>
      <c r="S573" s="834"/>
      <c r="T573" s="155"/>
      <c r="U573" s="155"/>
      <c r="V573" s="155"/>
      <c r="W573" s="155"/>
      <c r="X573" s="155"/>
      <c r="Y573" s="155"/>
      <c r="Z573" s="155"/>
      <c r="AA573" s="155"/>
      <c r="AB573" s="155"/>
      <c r="AC573" s="155"/>
      <c r="AD573" s="155"/>
      <c r="AE573" s="155"/>
      <c r="AF573" s="835"/>
    </row>
    <row r="574" spans="1:32" ht="31.5">
      <c r="A574" s="885">
        <v>548</v>
      </c>
      <c r="B574" s="828" t="s">
        <v>1407</v>
      </c>
      <c r="C574" s="828">
        <v>3814043</v>
      </c>
      <c r="D574" s="829" t="s">
        <v>3915</v>
      </c>
      <c r="E574" s="830"/>
      <c r="F574" s="830"/>
      <c r="G574" s="830"/>
      <c r="H574" s="831">
        <v>10</v>
      </c>
      <c r="I574" s="831">
        <v>10</v>
      </c>
      <c r="J574" s="831">
        <v>10</v>
      </c>
      <c r="K574" s="830"/>
      <c r="L574" s="830"/>
      <c r="M574" s="830"/>
      <c r="N574" s="830"/>
      <c r="O574" s="830"/>
      <c r="P574" s="830"/>
      <c r="Q574" s="832">
        <f t="shared" si="8"/>
        <v>30</v>
      </c>
      <c r="R574" s="833" t="s">
        <v>3719</v>
      </c>
      <c r="S574" s="834"/>
      <c r="T574" s="850"/>
      <c r="U574" s="850"/>
      <c r="V574" s="850"/>
      <c r="W574" s="850"/>
      <c r="X574" s="850"/>
      <c r="Y574" s="850"/>
      <c r="Z574" s="850"/>
      <c r="AA574" s="850"/>
      <c r="AB574" s="850"/>
      <c r="AC574" s="850"/>
      <c r="AD574" s="850"/>
      <c r="AE574" s="853"/>
      <c r="AF574" s="835"/>
    </row>
    <row r="575" spans="1:32" ht="31.5">
      <c r="A575" s="827">
        <v>549</v>
      </c>
      <c r="B575" s="828" t="s">
        <v>1407</v>
      </c>
      <c r="C575" s="828">
        <v>3814097</v>
      </c>
      <c r="D575" s="829" t="s">
        <v>3916</v>
      </c>
      <c r="E575" s="830"/>
      <c r="F575" s="830"/>
      <c r="G575" s="830"/>
      <c r="H575" s="831">
        <v>10</v>
      </c>
      <c r="I575" s="831">
        <v>10</v>
      </c>
      <c r="J575" s="831">
        <v>10</v>
      </c>
      <c r="K575" s="830"/>
      <c r="L575" s="830"/>
      <c r="M575" s="830"/>
      <c r="N575" s="830"/>
      <c r="O575" s="830"/>
      <c r="P575" s="830"/>
      <c r="Q575" s="832">
        <f t="shared" si="8"/>
        <v>30</v>
      </c>
      <c r="R575" s="833" t="s">
        <v>3719</v>
      </c>
      <c r="S575" s="834"/>
      <c r="T575" s="853"/>
      <c r="U575" s="853"/>
      <c r="V575" s="853"/>
      <c r="W575" s="853"/>
      <c r="X575" s="853"/>
      <c r="Y575" s="853"/>
      <c r="Z575" s="853"/>
      <c r="AA575" s="853"/>
      <c r="AB575" s="853"/>
      <c r="AC575" s="853"/>
      <c r="AD575" s="853"/>
      <c r="AE575" s="853"/>
      <c r="AF575" s="835"/>
    </row>
    <row r="576" spans="1:32" ht="42">
      <c r="A576" s="885">
        <v>550</v>
      </c>
      <c r="B576" s="828" t="s">
        <v>1407</v>
      </c>
      <c r="C576" s="828">
        <v>1302114</v>
      </c>
      <c r="D576" s="829" t="s">
        <v>3917</v>
      </c>
      <c r="E576" s="830"/>
      <c r="F576" s="830"/>
      <c r="G576" s="830"/>
      <c r="H576" s="830"/>
      <c r="I576" s="830"/>
      <c r="J576" s="831">
        <v>5</v>
      </c>
      <c r="K576" s="830"/>
      <c r="L576" s="830"/>
      <c r="M576" s="830"/>
      <c r="N576" s="830"/>
      <c r="O576" s="830"/>
      <c r="P576" s="830"/>
      <c r="Q576" s="832">
        <f t="shared" si="8"/>
        <v>5</v>
      </c>
      <c r="R576" s="833" t="s">
        <v>4025</v>
      </c>
      <c r="S576" s="834"/>
      <c r="T576" s="850"/>
      <c r="U576" s="850"/>
      <c r="V576" s="850"/>
      <c r="W576" s="850"/>
      <c r="X576" s="850"/>
      <c r="Y576" s="850"/>
      <c r="Z576" s="850"/>
      <c r="AA576" s="850"/>
      <c r="AB576" s="850"/>
      <c r="AC576" s="850"/>
      <c r="AD576" s="850"/>
      <c r="AE576" s="850"/>
      <c r="AF576" s="835"/>
    </row>
    <row r="577" spans="1:32" ht="53.25" thickBot="1">
      <c r="A577" s="827">
        <v>551</v>
      </c>
      <c r="B577" s="828" t="s">
        <v>1407</v>
      </c>
      <c r="C577" s="828">
        <v>9106976</v>
      </c>
      <c r="D577" s="829" t="s">
        <v>3918</v>
      </c>
      <c r="E577" s="830"/>
      <c r="F577" s="830"/>
      <c r="G577" s="830"/>
      <c r="H577" s="830"/>
      <c r="I577" s="830"/>
      <c r="J577" s="831">
        <v>1</v>
      </c>
      <c r="K577" s="830"/>
      <c r="L577" s="830"/>
      <c r="M577" s="830"/>
      <c r="N577" s="830"/>
      <c r="O577" s="830"/>
      <c r="P577" s="830"/>
      <c r="Q577" s="832">
        <f t="shared" si="8"/>
        <v>1</v>
      </c>
      <c r="R577" s="833" t="s">
        <v>4025</v>
      </c>
      <c r="S577" s="834"/>
      <c r="T577" s="853"/>
      <c r="U577" s="853"/>
      <c r="V577" s="853"/>
      <c r="W577" s="853"/>
      <c r="X577" s="853"/>
      <c r="Y577" s="853"/>
      <c r="Z577" s="853"/>
      <c r="AA577" s="853"/>
      <c r="AB577" s="853"/>
      <c r="AC577" s="853"/>
      <c r="AD577" s="853"/>
      <c r="AE577" s="853"/>
      <c r="AF577" s="835"/>
    </row>
    <row r="578" spans="1:32" ht="31.5">
      <c r="A578" s="885">
        <v>552</v>
      </c>
      <c r="B578" s="828" t="s">
        <v>1407</v>
      </c>
      <c r="C578" s="854">
        <v>3413091</v>
      </c>
      <c r="D578" s="855" t="s">
        <v>3919</v>
      </c>
      <c r="E578" s="854"/>
      <c r="F578" s="854"/>
      <c r="G578" s="854"/>
      <c r="H578" s="854"/>
      <c r="I578" s="854"/>
      <c r="J578" s="856">
        <v>100</v>
      </c>
      <c r="K578" s="830"/>
      <c r="L578" s="830"/>
      <c r="M578" s="830"/>
      <c r="N578" s="830"/>
      <c r="O578" s="830"/>
      <c r="P578" s="830"/>
      <c r="Q578" s="832">
        <f t="shared" si="8"/>
        <v>100</v>
      </c>
      <c r="R578" s="891" t="s">
        <v>2261</v>
      </c>
      <c r="S578" s="834"/>
      <c r="T578" s="853"/>
      <c r="U578" s="853"/>
      <c r="V578" s="853"/>
      <c r="W578" s="853"/>
      <c r="X578" s="853"/>
      <c r="Y578" s="853"/>
      <c r="Z578" s="853"/>
      <c r="AA578" s="853"/>
      <c r="AB578" s="853"/>
      <c r="AC578" s="853"/>
      <c r="AD578" s="853"/>
      <c r="AE578" s="853"/>
      <c r="AF578" s="835"/>
    </row>
    <row r="579" spans="1:32" ht="52.5">
      <c r="A579" s="827">
        <v>553</v>
      </c>
      <c r="B579" s="828" t="s">
        <v>1407</v>
      </c>
      <c r="C579" s="854">
        <v>3605862</v>
      </c>
      <c r="D579" s="855" t="s">
        <v>3920</v>
      </c>
      <c r="E579" s="854"/>
      <c r="F579" s="854"/>
      <c r="G579" s="854"/>
      <c r="H579" s="854"/>
      <c r="I579" s="854"/>
      <c r="J579" s="856">
        <v>20</v>
      </c>
      <c r="K579" s="830"/>
      <c r="L579" s="831">
        <v>30</v>
      </c>
      <c r="M579" s="830"/>
      <c r="N579" s="830"/>
      <c r="O579" s="830"/>
      <c r="P579" s="830"/>
      <c r="Q579" s="832">
        <f t="shared" si="8"/>
        <v>50</v>
      </c>
      <c r="R579" s="854" t="s">
        <v>4025</v>
      </c>
      <c r="S579" s="834"/>
      <c r="T579" s="853"/>
      <c r="U579" s="853"/>
      <c r="V579" s="853"/>
      <c r="W579" s="853"/>
      <c r="X579" s="853"/>
      <c r="Y579" s="853"/>
      <c r="Z579" s="853"/>
      <c r="AA579" s="853"/>
      <c r="AB579" s="853"/>
      <c r="AC579" s="853"/>
      <c r="AD579" s="853"/>
      <c r="AE579" s="853"/>
      <c r="AF579" s="835"/>
    </row>
    <row r="580" spans="1:32" ht="31.5">
      <c r="A580" s="885">
        <v>554</v>
      </c>
      <c r="B580" s="828" t="s">
        <v>1407</v>
      </c>
      <c r="C580" s="854">
        <v>9103823</v>
      </c>
      <c r="D580" s="855" t="s">
        <v>3921</v>
      </c>
      <c r="E580" s="854"/>
      <c r="F580" s="854"/>
      <c r="G580" s="854"/>
      <c r="H580" s="854"/>
      <c r="I580" s="854"/>
      <c r="J580" s="856">
        <v>30</v>
      </c>
      <c r="K580" s="830"/>
      <c r="L580" s="831">
        <v>30</v>
      </c>
      <c r="M580" s="830"/>
      <c r="N580" s="830"/>
      <c r="O580" s="830"/>
      <c r="P580" s="830"/>
      <c r="Q580" s="832">
        <f t="shared" si="8"/>
        <v>60</v>
      </c>
      <c r="R580" s="854" t="s">
        <v>4025</v>
      </c>
      <c r="S580" s="834"/>
      <c r="T580" s="155"/>
      <c r="U580" s="155"/>
      <c r="V580" s="155"/>
      <c r="W580" s="155"/>
      <c r="X580" s="155"/>
      <c r="Y580" s="155"/>
      <c r="Z580" s="155"/>
      <c r="AA580" s="155"/>
      <c r="AB580" s="155"/>
      <c r="AC580" s="155"/>
      <c r="AD580" s="155"/>
      <c r="AE580" s="155"/>
      <c r="AF580" s="835"/>
    </row>
    <row r="581" spans="1:32" ht="63">
      <c r="A581" s="827">
        <v>555</v>
      </c>
      <c r="B581" s="828" t="s">
        <v>1407</v>
      </c>
      <c r="C581" s="854">
        <v>9105478</v>
      </c>
      <c r="D581" s="855" t="s">
        <v>3922</v>
      </c>
      <c r="E581" s="854"/>
      <c r="F581" s="854"/>
      <c r="G581" s="854"/>
      <c r="H581" s="854"/>
      <c r="I581" s="854"/>
      <c r="J581" s="856">
        <v>4</v>
      </c>
      <c r="K581" s="830"/>
      <c r="L581" s="831">
        <v>4</v>
      </c>
      <c r="M581" s="830"/>
      <c r="N581" s="830"/>
      <c r="O581" s="830"/>
      <c r="P581" s="830"/>
      <c r="Q581" s="832">
        <f t="shared" si="8"/>
        <v>8</v>
      </c>
      <c r="R581" s="854" t="s">
        <v>4025</v>
      </c>
      <c r="S581" s="834"/>
      <c r="T581" s="853"/>
      <c r="U581" s="853"/>
      <c r="V581" s="853"/>
      <c r="W581" s="853"/>
      <c r="X581" s="853"/>
      <c r="Y581" s="853"/>
      <c r="Z581" s="853"/>
      <c r="AA581" s="853"/>
      <c r="AB581" s="853"/>
      <c r="AC581" s="853"/>
      <c r="AD581" s="853"/>
      <c r="AE581" s="853"/>
      <c r="AF581" s="835"/>
    </row>
    <row r="582" spans="1:32" ht="73.5">
      <c r="A582" s="885">
        <v>556</v>
      </c>
      <c r="B582" s="828" t="s">
        <v>1407</v>
      </c>
      <c r="C582" s="854">
        <v>9105741</v>
      </c>
      <c r="D582" s="855" t="s">
        <v>3923</v>
      </c>
      <c r="E582" s="854"/>
      <c r="F582" s="854"/>
      <c r="G582" s="854"/>
      <c r="H582" s="854"/>
      <c r="I582" s="854"/>
      <c r="J582" s="856">
        <v>6</v>
      </c>
      <c r="K582" s="830"/>
      <c r="L582" s="831">
        <v>6</v>
      </c>
      <c r="M582" s="830"/>
      <c r="N582" s="830"/>
      <c r="O582" s="830"/>
      <c r="P582" s="830"/>
      <c r="Q582" s="832">
        <f t="shared" si="8"/>
        <v>12</v>
      </c>
      <c r="R582" s="854" t="s">
        <v>4025</v>
      </c>
      <c r="S582" s="834"/>
      <c r="T582" s="853"/>
      <c r="U582" s="853"/>
      <c r="V582" s="853"/>
      <c r="W582" s="853"/>
      <c r="X582" s="853"/>
      <c r="Y582" s="853"/>
      <c r="Z582" s="853"/>
      <c r="AA582" s="853"/>
      <c r="AB582" s="853"/>
      <c r="AC582" s="853"/>
      <c r="AD582" s="853"/>
      <c r="AE582" s="853"/>
      <c r="AF582" s="835"/>
    </row>
    <row r="583" spans="1:32" ht="42">
      <c r="A583" s="827">
        <v>557</v>
      </c>
      <c r="B583" s="828" t="s">
        <v>1407</v>
      </c>
      <c r="C583" s="854">
        <v>9103829</v>
      </c>
      <c r="D583" s="855" t="s">
        <v>3924</v>
      </c>
      <c r="E583" s="854"/>
      <c r="F583" s="854"/>
      <c r="G583" s="854"/>
      <c r="H583" s="854"/>
      <c r="I583" s="854"/>
      <c r="J583" s="856">
        <v>3</v>
      </c>
      <c r="K583" s="830"/>
      <c r="L583" s="831">
        <v>3</v>
      </c>
      <c r="M583" s="830"/>
      <c r="N583" s="830"/>
      <c r="O583" s="830"/>
      <c r="P583" s="830"/>
      <c r="Q583" s="832">
        <f t="shared" si="8"/>
        <v>6</v>
      </c>
      <c r="R583" s="854" t="s">
        <v>4025</v>
      </c>
      <c r="S583" s="834"/>
      <c r="T583" s="850"/>
      <c r="U583" s="850"/>
      <c r="V583" s="850"/>
      <c r="W583" s="850"/>
      <c r="X583" s="850"/>
      <c r="Y583" s="850"/>
      <c r="Z583" s="850"/>
      <c r="AA583" s="850"/>
      <c r="AB583" s="850"/>
      <c r="AC583" s="850"/>
      <c r="AD583" s="850"/>
      <c r="AE583" s="850"/>
      <c r="AF583" s="835"/>
    </row>
    <row r="584" spans="1:32" ht="21">
      <c r="A584" s="885">
        <v>558</v>
      </c>
      <c r="B584" s="854" t="s">
        <v>100</v>
      </c>
      <c r="C584" s="854">
        <v>3905314</v>
      </c>
      <c r="D584" s="855" t="s">
        <v>3925</v>
      </c>
      <c r="E584" s="854"/>
      <c r="F584" s="854"/>
      <c r="G584" s="854"/>
      <c r="H584" s="854"/>
      <c r="I584" s="854"/>
      <c r="J584" s="856">
        <v>40</v>
      </c>
      <c r="K584" s="830"/>
      <c r="L584" s="831">
        <v>60</v>
      </c>
      <c r="M584" s="830"/>
      <c r="N584" s="830"/>
      <c r="O584" s="830"/>
      <c r="P584" s="830"/>
      <c r="Q584" s="832">
        <f t="shared" si="8"/>
        <v>100</v>
      </c>
      <c r="R584" s="854" t="s">
        <v>4025</v>
      </c>
      <c r="S584" s="859"/>
      <c r="T584" s="859"/>
      <c r="U584" s="859"/>
      <c r="V584" s="859"/>
      <c r="W584" s="859"/>
      <c r="X584" s="859"/>
      <c r="Y584" s="859"/>
      <c r="Z584" s="859"/>
      <c r="AA584" s="859"/>
      <c r="AB584" s="859"/>
      <c r="AC584" s="859"/>
      <c r="AD584" s="859"/>
      <c r="AE584" s="859"/>
      <c r="AF584" s="859"/>
    </row>
    <row r="585" spans="1:32" ht="42">
      <c r="A585" s="827">
        <v>559</v>
      </c>
      <c r="B585" s="854" t="s">
        <v>100</v>
      </c>
      <c r="C585" s="854">
        <v>9103782</v>
      </c>
      <c r="D585" s="855" t="s">
        <v>3926</v>
      </c>
      <c r="E585" s="854"/>
      <c r="F585" s="854"/>
      <c r="G585" s="854"/>
      <c r="H585" s="856">
        <v>50</v>
      </c>
      <c r="I585" s="854"/>
      <c r="J585" s="854"/>
      <c r="K585" s="830"/>
      <c r="L585" s="830"/>
      <c r="M585" s="830"/>
      <c r="N585" s="830"/>
      <c r="O585" s="830"/>
      <c r="P585" s="830"/>
      <c r="Q585" s="832">
        <f t="shared" si="8"/>
        <v>50</v>
      </c>
      <c r="R585" s="854" t="s">
        <v>4025</v>
      </c>
      <c r="S585" s="836"/>
      <c r="T585" s="851"/>
      <c r="U585" s="851"/>
      <c r="V585" s="851"/>
      <c r="W585" s="851"/>
      <c r="X585" s="851"/>
      <c r="Y585" s="851"/>
      <c r="Z585" s="851"/>
      <c r="AA585" s="851"/>
      <c r="AB585" s="851"/>
      <c r="AC585" s="851"/>
      <c r="AD585" s="851"/>
      <c r="AE585" s="851"/>
      <c r="AF585" s="837"/>
    </row>
    <row r="586" spans="1:32" ht="31.5">
      <c r="A586" s="885">
        <v>560</v>
      </c>
      <c r="B586" s="854" t="s">
        <v>100</v>
      </c>
      <c r="C586" s="854">
        <v>9103822</v>
      </c>
      <c r="D586" s="855" t="s">
        <v>3927</v>
      </c>
      <c r="E586" s="854"/>
      <c r="F586" s="854"/>
      <c r="G586" s="854"/>
      <c r="H586" s="856">
        <v>50</v>
      </c>
      <c r="I586" s="854"/>
      <c r="J586" s="854"/>
      <c r="K586" s="830"/>
      <c r="L586" s="830"/>
      <c r="M586" s="830"/>
      <c r="N586" s="830"/>
      <c r="O586" s="830"/>
      <c r="P586" s="830"/>
      <c r="Q586" s="832">
        <f t="shared" si="8"/>
        <v>50</v>
      </c>
      <c r="R586" s="854" t="s">
        <v>4025</v>
      </c>
      <c r="S586" s="836"/>
      <c r="T586" s="851"/>
      <c r="U586" s="851"/>
      <c r="V586" s="851"/>
      <c r="W586" s="851"/>
      <c r="X586" s="851"/>
      <c r="Y586" s="851"/>
      <c r="Z586" s="851"/>
      <c r="AA586" s="851"/>
      <c r="AB586" s="851"/>
      <c r="AC586" s="851"/>
      <c r="AD586" s="851"/>
      <c r="AE586" s="851"/>
      <c r="AF586" s="837"/>
    </row>
    <row r="587" spans="1:32" ht="21">
      <c r="A587" s="827">
        <v>561</v>
      </c>
      <c r="B587" s="828" t="s">
        <v>1407</v>
      </c>
      <c r="C587" s="854">
        <v>3905290</v>
      </c>
      <c r="D587" s="855" t="s">
        <v>3928</v>
      </c>
      <c r="E587" s="854"/>
      <c r="F587" s="854"/>
      <c r="G587" s="854"/>
      <c r="H587" s="854"/>
      <c r="I587" s="854"/>
      <c r="J587" s="856">
        <v>5</v>
      </c>
      <c r="K587" s="830"/>
      <c r="L587" s="830"/>
      <c r="M587" s="830"/>
      <c r="N587" s="830"/>
      <c r="O587" s="830"/>
      <c r="P587" s="830"/>
      <c r="Q587" s="832">
        <f t="shared" si="8"/>
        <v>5</v>
      </c>
      <c r="R587" s="854" t="s">
        <v>4025</v>
      </c>
      <c r="S587" s="836"/>
      <c r="T587" s="851"/>
      <c r="U587" s="851"/>
      <c r="V587" s="851"/>
      <c r="W587" s="851"/>
      <c r="X587" s="851"/>
      <c r="Y587" s="851"/>
      <c r="Z587" s="851"/>
      <c r="AA587" s="851"/>
      <c r="AB587" s="851"/>
      <c r="AC587" s="851"/>
      <c r="AD587" s="851"/>
      <c r="AE587" s="851"/>
      <c r="AF587" s="837"/>
    </row>
    <row r="588" spans="1:32" ht="73.5">
      <c r="A588" s="885">
        <v>562</v>
      </c>
      <c r="B588" s="828" t="s">
        <v>1407</v>
      </c>
      <c r="C588" s="854">
        <v>9105336</v>
      </c>
      <c r="D588" s="855" t="s">
        <v>3929</v>
      </c>
      <c r="E588" s="854"/>
      <c r="F588" s="854"/>
      <c r="G588" s="854"/>
      <c r="H588" s="854"/>
      <c r="I588" s="854"/>
      <c r="J588" s="856">
        <v>2</v>
      </c>
      <c r="K588" s="830"/>
      <c r="L588" s="831">
        <v>2</v>
      </c>
      <c r="M588" s="830"/>
      <c r="N588" s="830"/>
      <c r="O588" s="830"/>
      <c r="P588" s="830"/>
      <c r="Q588" s="832">
        <f t="shared" si="8"/>
        <v>4</v>
      </c>
      <c r="R588" s="854" t="s">
        <v>4025</v>
      </c>
      <c r="S588" s="836"/>
      <c r="T588" s="892"/>
      <c r="U588" s="893"/>
      <c r="V588" s="893"/>
      <c r="W588" s="893"/>
      <c r="X588" s="893"/>
      <c r="Y588" s="893"/>
      <c r="Z588" s="893"/>
      <c r="AA588" s="893"/>
      <c r="AB588" s="893"/>
      <c r="AC588" s="893"/>
      <c r="AD588" s="893"/>
      <c r="AE588" s="893"/>
      <c r="AF588" s="837"/>
    </row>
    <row r="589" spans="1:32" ht="31.5">
      <c r="A589" s="827">
        <v>563</v>
      </c>
      <c r="B589" s="828" t="s">
        <v>1407</v>
      </c>
      <c r="C589" s="854">
        <v>3901888</v>
      </c>
      <c r="D589" s="855" t="s">
        <v>3930</v>
      </c>
      <c r="E589" s="854"/>
      <c r="F589" s="854"/>
      <c r="G589" s="854"/>
      <c r="H589" s="854"/>
      <c r="I589" s="854"/>
      <c r="J589" s="856">
        <v>6</v>
      </c>
      <c r="K589" s="830"/>
      <c r="L589" s="831">
        <v>6</v>
      </c>
      <c r="M589" s="830"/>
      <c r="N589" s="830"/>
      <c r="O589" s="830"/>
      <c r="P589" s="830"/>
      <c r="Q589" s="832">
        <f t="shared" si="8"/>
        <v>12</v>
      </c>
      <c r="R589" s="854" t="s">
        <v>4025</v>
      </c>
      <c r="S589" s="836"/>
      <c r="T589" s="872"/>
      <c r="U589" s="872"/>
      <c r="V589" s="872"/>
      <c r="W589" s="872"/>
      <c r="X589" s="872"/>
      <c r="Y589" s="872"/>
      <c r="Z589" s="872"/>
      <c r="AA589" s="872"/>
      <c r="AB589" s="872"/>
      <c r="AC589" s="872"/>
      <c r="AD589" s="872"/>
      <c r="AE589" s="872"/>
      <c r="AF589" s="837"/>
    </row>
    <row r="590" spans="1:32" ht="21">
      <c r="A590" s="885">
        <v>564</v>
      </c>
      <c r="B590" s="828" t="s">
        <v>1407</v>
      </c>
      <c r="C590" s="828" t="s">
        <v>3931</v>
      </c>
      <c r="D590" s="829" t="s">
        <v>3932</v>
      </c>
      <c r="E590" s="830" t="s">
        <v>4794</v>
      </c>
      <c r="F590" s="830"/>
      <c r="G590" s="830" t="s">
        <v>4794</v>
      </c>
      <c r="H590" s="831">
        <v>50</v>
      </c>
      <c r="I590" s="830" t="s">
        <v>4794</v>
      </c>
      <c r="J590" s="831">
        <v>50</v>
      </c>
      <c r="K590" s="830" t="s">
        <v>4794</v>
      </c>
      <c r="L590" s="830"/>
      <c r="M590" s="831">
        <v>50</v>
      </c>
      <c r="N590" s="830" t="s">
        <v>4794</v>
      </c>
      <c r="O590" s="830"/>
      <c r="P590" s="830" t="s">
        <v>4794</v>
      </c>
      <c r="Q590" s="832">
        <f t="shared" si="8"/>
        <v>150</v>
      </c>
      <c r="R590" s="833" t="s">
        <v>3714</v>
      </c>
      <c r="S590" s="836"/>
      <c r="T590" s="851"/>
      <c r="U590" s="851"/>
      <c r="V590" s="851"/>
      <c r="W590" s="851"/>
      <c r="X590" s="851"/>
      <c r="Y590" s="851"/>
      <c r="Z590" s="851"/>
      <c r="AA590" s="851"/>
      <c r="AB590" s="851"/>
      <c r="AC590" s="851"/>
      <c r="AD590" s="851"/>
      <c r="AE590" s="851"/>
      <c r="AF590" s="837"/>
    </row>
    <row r="591" spans="1:32" ht="31.5">
      <c r="A591" s="827">
        <v>565</v>
      </c>
      <c r="B591" s="828" t="s">
        <v>1407</v>
      </c>
      <c r="C591" s="828" t="s">
        <v>3933</v>
      </c>
      <c r="D591" s="829" t="s">
        <v>3934</v>
      </c>
      <c r="E591" s="830" t="s">
        <v>4794</v>
      </c>
      <c r="F591" s="831">
        <v>50</v>
      </c>
      <c r="G591" s="830"/>
      <c r="H591" s="830"/>
      <c r="I591" s="831">
        <v>50</v>
      </c>
      <c r="J591" s="830" t="s">
        <v>4794</v>
      </c>
      <c r="K591" s="831">
        <v>100</v>
      </c>
      <c r="L591" s="830" t="s">
        <v>4794</v>
      </c>
      <c r="M591" s="830" t="s">
        <v>4794</v>
      </c>
      <c r="N591" s="830" t="s">
        <v>4794</v>
      </c>
      <c r="O591" s="830" t="s">
        <v>4794</v>
      </c>
      <c r="P591" s="830" t="s">
        <v>4794</v>
      </c>
      <c r="Q591" s="832">
        <f t="shared" si="8"/>
        <v>200</v>
      </c>
      <c r="R591" s="833" t="s">
        <v>3714</v>
      </c>
      <c r="S591" s="836"/>
      <c r="T591" s="892"/>
      <c r="U591" s="893"/>
      <c r="V591" s="893"/>
      <c r="W591" s="893"/>
      <c r="X591" s="893"/>
      <c r="Y591" s="893"/>
      <c r="Z591" s="893"/>
      <c r="AA591" s="893"/>
      <c r="AB591" s="893"/>
      <c r="AC591" s="893"/>
      <c r="AD591" s="893"/>
      <c r="AE591" s="893"/>
      <c r="AF591" s="837"/>
    </row>
    <row r="592" spans="1:32" ht="31.5">
      <c r="A592" s="885">
        <v>566</v>
      </c>
      <c r="B592" s="828" t="s">
        <v>1407</v>
      </c>
      <c r="C592" s="828" t="s">
        <v>3935</v>
      </c>
      <c r="D592" s="829" t="s">
        <v>3936</v>
      </c>
      <c r="E592" s="830" t="s">
        <v>4794</v>
      </c>
      <c r="F592" s="831">
        <v>50</v>
      </c>
      <c r="G592" s="830"/>
      <c r="H592" s="830" t="s">
        <v>4794</v>
      </c>
      <c r="I592" s="830"/>
      <c r="J592" s="830" t="s">
        <v>4794</v>
      </c>
      <c r="K592" s="831">
        <v>100</v>
      </c>
      <c r="L592" s="830"/>
      <c r="M592" s="831">
        <v>50</v>
      </c>
      <c r="N592" s="830"/>
      <c r="O592" s="830"/>
      <c r="P592" s="830" t="s">
        <v>4794</v>
      </c>
      <c r="Q592" s="832">
        <f t="shared" si="8"/>
        <v>200</v>
      </c>
      <c r="R592" s="833" t="s">
        <v>3714</v>
      </c>
      <c r="S592" s="836"/>
      <c r="T592" s="892"/>
      <c r="U592" s="893"/>
      <c r="V592" s="893"/>
      <c r="W592" s="893"/>
      <c r="X592" s="893"/>
      <c r="Y592" s="893"/>
      <c r="Z592" s="893"/>
      <c r="AA592" s="893"/>
      <c r="AB592" s="893"/>
      <c r="AC592" s="893"/>
      <c r="AD592" s="893"/>
      <c r="AE592" s="893"/>
      <c r="AF592" s="837"/>
    </row>
    <row r="593" spans="1:32" ht="31.5">
      <c r="A593" s="827">
        <v>567</v>
      </c>
      <c r="B593" s="828" t="s">
        <v>1407</v>
      </c>
      <c r="C593" s="828" t="s">
        <v>3937</v>
      </c>
      <c r="D593" s="829" t="s">
        <v>3938</v>
      </c>
      <c r="E593" s="830" t="s">
        <v>4794</v>
      </c>
      <c r="F593" s="831">
        <v>50</v>
      </c>
      <c r="G593" s="830" t="s">
        <v>4794</v>
      </c>
      <c r="H593" s="831">
        <v>50</v>
      </c>
      <c r="I593" s="830"/>
      <c r="J593" s="831">
        <v>50</v>
      </c>
      <c r="K593" s="831">
        <v>50</v>
      </c>
      <c r="L593" s="831">
        <v>50</v>
      </c>
      <c r="M593" s="831">
        <v>50</v>
      </c>
      <c r="N593" s="830"/>
      <c r="O593" s="830" t="s">
        <v>4794</v>
      </c>
      <c r="P593" s="830" t="s">
        <v>4794</v>
      </c>
      <c r="Q593" s="832">
        <f t="shared" si="8"/>
        <v>300</v>
      </c>
      <c r="R593" s="833" t="s">
        <v>3714</v>
      </c>
      <c r="S593" s="836"/>
      <c r="T593" s="851"/>
      <c r="U593" s="851"/>
      <c r="V593" s="851"/>
      <c r="W593" s="851"/>
      <c r="X593" s="851"/>
      <c r="Y593" s="851"/>
      <c r="Z593" s="851"/>
      <c r="AA593" s="851"/>
      <c r="AB593" s="851"/>
      <c r="AC593" s="851"/>
      <c r="AD593" s="851"/>
      <c r="AE593" s="851"/>
      <c r="AF593" s="837"/>
    </row>
    <row r="594" spans="1:32" ht="31.5">
      <c r="A594" s="885">
        <v>568</v>
      </c>
      <c r="B594" s="828" t="s">
        <v>1407</v>
      </c>
      <c r="C594" s="828" t="s">
        <v>3939</v>
      </c>
      <c r="D594" s="829" t="s">
        <v>3940</v>
      </c>
      <c r="E594" s="830" t="s">
        <v>4794</v>
      </c>
      <c r="F594" s="830" t="s">
        <v>4794</v>
      </c>
      <c r="G594" s="831">
        <v>50</v>
      </c>
      <c r="H594" s="830"/>
      <c r="I594" s="831">
        <v>50</v>
      </c>
      <c r="J594" s="830" t="s">
        <v>4794</v>
      </c>
      <c r="K594" s="831">
        <v>100</v>
      </c>
      <c r="L594" s="830"/>
      <c r="M594" s="830" t="s">
        <v>4794</v>
      </c>
      <c r="N594" s="830"/>
      <c r="O594" s="831">
        <v>100</v>
      </c>
      <c r="P594" s="830" t="s">
        <v>4794</v>
      </c>
      <c r="Q594" s="832">
        <f t="shared" si="8"/>
        <v>300</v>
      </c>
      <c r="R594" s="833" t="s">
        <v>3714</v>
      </c>
      <c r="S594" s="836"/>
      <c r="T594" s="851"/>
      <c r="U594" s="851"/>
      <c r="V594" s="851"/>
      <c r="W594" s="851"/>
      <c r="X594" s="851"/>
      <c r="Y594" s="851"/>
      <c r="Z594" s="851"/>
      <c r="AA594" s="851"/>
      <c r="AB594" s="851"/>
      <c r="AC594" s="851"/>
      <c r="AD594" s="851"/>
      <c r="AE594" s="851"/>
      <c r="AF594" s="837"/>
    </row>
    <row r="595" spans="1:32" ht="31.5">
      <c r="A595" s="827">
        <v>569</v>
      </c>
      <c r="B595" s="828" t="s">
        <v>1407</v>
      </c>
      <c r="C595" s="828" t="s">
        <v>3941</v>
      </c>
      <c r="D595" s="829" t="s">
        <v>3942</v>
      </c>
      <c r="E595" s="830" t="s">
        <v>4794</v>
      </c>
      <c r="F595" s="830"/>
      <c r="G595" s="831">
        <v>50</v>
      </c>
      <c r="H595" s="830" t="s">
        <v>4794</v>
      </c>
      <c r="I595" s="830" t="s">
        <v>4794</v>
      </c>
      <c r="J595" s="831">
        <v>50</v>
      </c>
      <c r="K595" s="831">
        <v>100</v>
      </c>
      <c r="L595" s="830" t="s">
        <v>4794</v>
      </c>
      <c r="M595" s="830" t="s">
        <v>4794</v>
      </c>
      <c r="N595" s="830"/>
      <c r="O595" s="831">
        <v>100</v>
      </c>
      <c r="P595" s="830" t="s">
        <v>4794</v>
      </c>
      <c r="Q595" s="832">
        <f t="shared" si="8"/>
        <v>300</v>
      </c>
      <c r="R595" s="833" t="s">
        <v>3714</v>
      </c>
      <c r="S595" s="836"/>
      <c r="T595" s="851"/>
      <c r="U595" s="851"/>
      <c r="V595" s="851"/>
      <c r="W595" s="851"/>
      <c r="X595" s="851"/>
      <c r="Y595" s="851"/>
      <c r="Z595" s="851"/>
      <c r="AA595" s="851"/>
      <c r="AB595" s="851"/>
      <c r="AC595" s="851"/>
      <c r="AD595" s="851"/>
      <c r="AE595" s="851"/>
      <c r="AF595" s="837"/>
    </row>
    <row r="596" spans="1:32" ht="31.5">
      <c r="A596" s="885">
        <v>570</v>
      </c>
      <c r="B596" s="828" t="s">
        <v>1407</v>
      </c>
      <c r="C596" s="828" t="s">
        <v>3943</v>
      </c>
      <c r="D596" s="829" t="s">
        <v>3944</v>
      </c>
      <c r="E596" s="830" t="s">
        <v>4794</v>
      </c>
      <c r="F596" s="830"/>
      <c r="G596" s="831">
        <v>50</v>
      </c>
      <c r="H596" s="831">
        <v>10</v>
      </c>
      <c r="I596" s="830" t="s">
        <v>4794</v>
      </c>
      <c r="J596" s="831">
        <v>10</v>
      </c>
      <c r="K596" s="831">
        <v>10</v>
      </c>
      <c r="L596" s="831">
        <v>10</v>
      </c>
      <c r="M596" s="831">
        <v>10</v>
      </c>
      <c r="N596" s="830"/>
      <c r="O596" s="831">
        <v>200</v>
      </c>
      <c r="P596" s="830" t="s">
        <v>4794</v>
      </c>
      <c r="Q596" s="832">
        <f t="shared" si="8"/>
        <v>300</v>
      </c>
      <c r="R596" s="833" t="s">
        <v>3714</v>
      </c>
      <c r="S596" s="836"/>
      <c r="T596" s="892"/>
      <c r="U596" s="892"/>
      <c r="V596" s="892"/>
      <c r="W596" s="892"/>
      <c r="X596" s="892"/>
      <c r="Y596" s="892"/>
      <c r="Z596" s="892"/>
      <c r="AA596" s="892"/>
      <c r="AB596" s="892"/>
      <c r="AC596" s="892"/>
      <c r="AD596" s="892"/>
      <c r="AE596" s="892"/>
      <c r="AF596" s="837"/>
    </row>
    <row r="597" spans="1:32" ht="21">
      <c r="A597" s="827">
        <v>571</v>
      </c>
      <c r="B597" s="828" t="s">
        <v>1407</v>
      </c>
      <c r="C597" s="828" t="s">
        <v>3945</v>
      </c>
      <c r="D597" s="829" t="s">
        <v>3946</v>
      </c>
      <c r="E597" s="830" t="s">
        <v>4794</v>
      </c>
      <c r="F597" s="830" t="s">
        <v>4794</v>
      </c>
      <c r="G597" s="831">
        <v>50</v>
      </c>
      <c r="H597" s="830"/>
      <c r="I597" s="831">
        <v>50</v>
      </c>
      <c r="J597" s="831">
        <v>50</v>
      </c>
      <c r="K597" s="831">
        <v>50</v>
      </c>
      <c r="L597" s="830"/>
      <c r="M597" s="830" t="s">
        <v>4794</v>
      </c>
      <c r="N597" s="830"/>
      <c r="O597" s="830" t="s">
        <v>4794</v>
      </c>
      <c r="P597" s="830" t="s">
        <v>4794</v>
      </c>
      <c r="Q597" s="832">
        <f t="shared" si="8"/>
        <v>200</v>
      </c>
      <c r="R597" s="833" t="s">
        <v>3714</v>
      </c>
      <c r="S597" s="836"/>
      <c r="T597" s="851"/>
      <c r="U597" s="851"/>
      <c r="V597" s="851"/>
      <c r="W597" s="851"/>
      <c r="X597" s="851"/>
      <c r="Y597" s="851"/>
      <c r="Z597" s="851"/>
      <c r="AA597" s="851"/>
      <c r="AB597" s="851"/>
      <c r="AC597" s="851"/>
      <c r="AD597" s="851"/>
      <c r="AE597" s="851"/>
      <c r="AF597" s="837"/>
    </row>
    <row r="598" spans="1:32" ht="21">
      <c r="A598" s="885">
        <v>572</v>
      </c>
      <c r="B598" s="828" t="s">
        <v>1407</v>
      </c>
      <c r="C598" s="828" t="s">
        <v>3947</v>
      </c>
      <c r="D598" s="829" t="s">
        <v>3948</v>
      </c>
      <c r="E598" s="830" t="s">
        <v>4794</v>
      </c>
      <c r="F598" s="830" t="s">
        <v>4794</v>
      </c>
      <c r="G598" s="831">
        <v>50</v>
      </c>
      <c r="H598" s="831">
        <v>50</v>
      </c>
      <c r="I598" s="830" t="s">
        <v>4794</v>
      </c>
      <c r="J598" s="830" t="s">
        <v>4794</v>
      </c>
      <c r="K598" s="831">
        <v>50</v>
      </c>
      <c r="L598" s="830" t="s">
        <v>4794</v>
      </c>
      <c r="M598" s="831">
        <v>100</v>
      </c>
      <c r="N598" s="831">
        <v>150</v>
      </c>
      <c r="O598" s="830" t="s">
        <v>4794</v>
      </c>
      <c r="P598" s="830" t="s">
        <v>4794</v>
      </c>
      <c r="Q598" s="832">
        <f t="shared" si="8"/>
        <v>400</v>
      </c>
      <c r="R598" s="833" t="s">
        <v>3714</v>
      </c>
      <c r="S598" s="836"/>
      <c r="T598" s="892"/>
      <c r="U598" s="892"/>
      <c r="V598" s="892"/>
      <c r="W598" s="892"/>
      <c r="X598" s="892"/>
      <c r="Y598" s="892"/>
      <c r="Z598" s="892"/>
      <c r="AA598" s="892"/>
      <c r="AB598" s="892"/>
      <c r="AC598" s="892"/>
      <c r="AD598" s="892"/>
      <c r="AE598" s="892"/>
      <c r="AF598" s="837"/>
    </row>
    <row r="599" spans="1:32" ht="21.75" thickBot="1">
      <c r="A599" s="838">
        <v>573</v>
      </c>
      <c r="B599" s="839" t="s">
        <v>1407</v>
      </c>
      <c r="C599" s="839" t="s">
        <v>3949</v>
      </c>
      <c r="D599" s="840" t="s">
        <v>3950</v>
      </c>
      <c r="E599" s="841" t="s">
        <v>4794</v>
      </c>
      <c r="F599" s="841" t="s">
        <v>4794</v>
      </c>
      <c r="G599" s="842">
        <v>50</v>
      </c>
      <c r="H599" s="841"/>
      <c r="I599" s="841" t="s">
        <v>4794</v>
      </c>
      <c r="J599" s="842">
        <v>50</v>
      </c>
      <c r="K599" s="841"/>
      <c r="L599" s="842">
        <v>50</v>
      </c>
      <c r="M599" s="841" t="s">
        <v>4794</v>
      </c>
      <c r="N599" s="842">
        <v>50</v>
      </c>
      <c r="O599" s="841" t="s">
        <v>4794</v>
      </c>
      <c r="P599" s="841" t="s">
        <v>4794</v>
      </c>
      <c r="Q599" s="843">
        <f t="shared" si="8"/>
        <v>200</v>
      </c>
      <c r="R599" s="844" t="s">
        <v>3714</v>
      </c>
      <c r="S599" s="836"/>
      <c r="T599" s="851"/>
      <c r="U599" s="851"/>
      <c r="V599" s="851"/>
      <c r="W599" s="851"/>
      <c r="X599" s="851"/>
      <c r="Y599" s="851"/>
      <c r="Z599" s="851"/>
      <c r="AA599" s="851"/>
      <c r="AB599" s="851"/>
      <c r="AC599" s="851"/>
      <c r="AD599" s="851"/>
      <c r="AE599" s="851"/>
      <c r="AF599" s="837"/>
    </row>
    <row r="600" spans="1:32" ht="21.75" thickBot="1">
      <c r="A600" s="845"/>
      <c r="B600" s="846"/>
      <c r="C600" s="846"/>
      <c r="D600" s="847" t="s">
        <v>4020</v>
      </c>
      <c r="E600" s="848"/>
      <c r="F600" s="848"/>
      <c r="G600" s="848"/>
      <c r="H600" s="848"/>
      <c r="I600" s="848"/>
      <c r="J600" s="848"/>
      <c r="K600" s="848"/>
      <c r="L600" s="848"/>
      <c r="M600" s="848"/>
      <c r="N600" s="848"/>
      <c r="O600" s="848"/>
      <c r="P600" s="848"/>
      <c r="Q600" s="849">
        <f t="shared" si="8"/>
        <v>0</v>
      </c>
      <c r="R600" s="845"/>
      <c r="S600" s="836"/>
      <c r="T600" s="851"/>
      <c r="U600" s="851"/>
      <c r="V600" s="851"/>
      <c r="W600" s="851"/>
      <c r="X600" s="851"/>
      <c r="Y600" s="851"/>
      <c r="Z600" s="851"/>
      <c r="AA600" s="851"/>
      <c r="AB600" s="851"/>
      <c r="AC600" s="851"/>
      <c r="AD600" s="851"/>
      <c r="AE600" s="851"/>
      <c r="AF600" s="837"/>
    </row>
    <row r="601" spans="1:32" ht="42">
      <c r="A601" s="894">
        <v>574</v>
      </c>
      <c r="B601" s="895" t="s">
        <v>3951</v>
      </c>
      <c r="C601" s="895">
        <v>3504088</v>
      </c>
      <c r="D601" s="896" t="s">
        <v>3952</v>
      </c>
      <c r="E601" s="897"/>
      <c r="F601" s="897"/>
      <c r="G601" s="897"/>
      <c r="H601" s="897"/>
      <c r="I601" s="897"/>
      <c r="J601" s="898">
        <v>10000</v>
      </c>
      <c r="K601" s="897"/>
      <c r="L601" s="897"/>
      <c r="M601" s="897"/>
      <c r="N601" s="897"/>
      <c r="O601" s="897"/>
      <c r="P601" s="897"/>
      <c r="Q601" s="823">
        <f t="shared" si="8"/>
        <v>10000</v>
      </c>
      <c r="R601" s="899" t="s">
        <v>3953</v>
      </c>
      <c r="S601" s="836"/>
      <c r="T601" s="892"/>
      <c r="U601" s="892"/>
      <c r="V601" s="892"/>
      <c r="W601" s="892"/>
      <c r="X601" s="892"/>
      <c r="Y601" s="892"/>
      <c r="Z601" s="892"/>
      <c r="AA601" s="892"/>
      <c r="AB601" s="892"/>
      <c r="AC601" s="892"/>
      <c r="AD601" s="892"/>
      <c r="AE601" s="892"/>
      <c r="AF601" s="837"/>
    </row>
    <row r="602" spans="1:32" ht="42.75" thickBot="1">
      <c r="A602" s="838">
        <v>575</v>
      </c>
      <c r="B602" s="839" t="s">
        <v>3951</v>
      </c>
      <c r="C602" s="839" t="s">
        <v>3954</v>
      </c>
      <c r="D602" s="840" t="s">
        <v>3955</v>
      </c>
      <c r="E602" s="841" t="s">
        <v>4794</v>
      </c>
      <c r="F602" s="841"/>
      <c r="G602" s="842">
        <v>40</v>
      </c>
      <c r="H602" s="841" t="s">
        <v>4794</v>
      </c>
      <c r="I602" s="842">
        <v>40</v>
      </c>
      <c r="J602" s="841" t="s">
        <v>4794</v>
      </c>
      <c r="K602" s="841" t="s">
        <v>4794</v>
      </c>
      <c r="L602" s="841" t="s">
        <v>4794</v>
      </c>
      <c r="M602" s="842">
        <v>40</v>
      </c>
      <c r="N602" s="841" t="s">
        <v>4794</v>
      </c>
      <c r="O602" s="841" t="s">
        <v>4794</v>
      </c>
      <c r="P602" s="841" t="s">
        <v>4794</v>
      </c>
      <c r="Q602" s="843">
        <f t="shared" si="8"/>
        <v>120</v>
      </c>
      <c r="R602" s="844" t="s">
        <v>3714</v>
      </c>
      <c r="S602" s="836"/>
      <c r="T602" s="851"/>
      <c r="U602" s="851"/>
      <c r="V602" s="851"/>
      <c r="W602" s="851"/>
      <c r="X602" s="851"/>
      <c r="Y602" s="851"/>
      <c r="Z602" s="851"/>
      <c r="AA602" s="851"/>
      <c r="AB602" s="851"/>
      <c r="AC602" s="851"/>
      <c r="AD602" s="851"/>
      <c r="AE602" s="851"/>
      <c r="AF602" s="837"/>
    </row>
    <row r="603" spans="1:32" ht="21.75" thickBot="1">
      <c r="A603" s="900"/>
      <c r="B603" s="901"/>
      <c r="C603" s="901"/>
      <c r="D603" s="847" t="s">
        <v>4020</v>
      </c>
      <c r="E603" s="902"/>
      <c r="F603" s="902"/>
      <c r="G603" s="902"/>
      <c r="H603" s="902"/>
      <c r="I603" s="902"/>
      <c r="J603" s="902"/>
      <c r="K603" s="902"/>
      <c r="L603" s="902"/>
      <c r="M603" s="902"/>
      <c r="N603" s="902"/>
      <c r="O603" s="902"/>
      <c r="P603" s="902"/>
      <c r="Q603" s="849">
        <f t="shared" si="8"/>
        <v>0</v>
      </c>
      <c r="R603" s="903"/>
      <c r="S603" s="836"/>
      <c r="T603" s="892"/>
      <c r="U603" s="892"/>
      <c r="V603" s="892"/>
      <c r="W603" s="892"/>
      <c r="X603" s="892"/>
      <c r="Y603" s="892"/>
      <c r="Z603" s="892"/>
      <c r="AA603" s="892"/>
      <c r="AB603" s="892"/>
      <c r="AC603" s="892"/>
      <c r="AD603" s="892"/>
      <c r="AE603" s="892"/>
      <c r="AF603" s="837"/>
    </row>
    <row r="604" spans="1:32" ht="31.5">
      <c r="A604" s="904">
        <v>576</v>
      </c>
      <c r="B604" s="905" t="s">
        <v>3956</v>
      </c>
      <c r="C604" s="819" t="s">
        <v>3957</v>
      </c>
      <c r="D604" s="820" t="s">
        <v>3958</v>
      </c>
      <c r="E604" s="822">
        <v>1</v>
      </c>
      <c r="F604" s="822">
        <v>1</v>
      </c>
      <c r="G604" s="822">
        <v>1</v>
      </c>
      <c r="H604" s="822">
        <v>1</v>
      </c>
      <c r="I604" s="822">
        <v>1</v>
      </c>
      <c r="J604" s="822">
        <v>1</v>
      </c>
      <c r="K604" s="822">
        <v>1</v>
      </c>
      <c r="L604" s="822">
        <v>1</v>
      </c>
      <c r="M604" s="822">
        <v>1</v>
      </c>
      <c r="N604" s="822">
        <v>1</v>
      </c>
      <c r="O604" s="822">
        <v>1</v>
      </c>
      <c r="P604" s="822">
        <v>1</v>
      </c>
      <c r="Q604" s="823">
        <f t="shared" si="8"/>
        <v>12</v>
      </c>
      <c r="R604" s="824" t="s">
        <v>3959</v>
      </c>
      <c r="S604" s="836"/>
      <c r="T604" s="892"/>
      <c r="U604" s="892"/>
      <c r="V604" s="892"/>
      <c r="W604" s="892"/>
      <c r="X604" s="892"/>
      <c r="Y604" s="892"/>
      <c r="Z604" s="892"/>
      <c r="AA604" s="892"/>
      <c r="AB604" s="892"/>
      <c r="AC604" s="892"/>
      <c r="AD604" s="892"/>
      <c r="AE604" s="892"/>
      <c r="AF604" s="837"/>
    </row>
    <row r="605" spans="1:32" ht="21">
      <c r="A605" s="906">
        <v>577</v>
      </c>
      <c r="B605" s="907" t="s">
        <v>3956</v>
      </c>
      <c r="C605" s="828">
        <v>9104727</v>
      </c>
      <c r="D605" s="829" t="s">
        <v>3960</v>
      </c>
      <c r="E605" s="831">
        <v>5</v>
      </c>
      <c r="F605" s="831">
        <v>5</v>
      </c>
      <c r="G605" s="831">
        <v>5</v>
      </c>
      <c r="H605" s="830"/>
      <c r="I605" s="830"/>
      <c r="J605" s="830"/>
      <c r="K605" s="830"/>
      <c r="L605" s="830"/>
      <c r="M605" s="830"/>
      <c r="N605" s="830"/>
      <c r="O605" s="830"/>
      <c r="P605" s="830"/>
      <c r="Q605" s="832">
        <f t="shared" si="8"/>
        <v>15</v>
      </c>
      <c r="R605" s="833" t="s">
        <v>3959</v>
      </c>
      <c r="S605" s="836"/>
      <c r="T605" s="851"/>
      <c r="U605" s="851"/>
      <c r="V605" s="851"/>
      <c r="W605" s="851"/>
      <c r="X605" s="851"/>
      <c r="Y605" s="851"/>
      <c r="Z605" s="851"/>
      <c r="AA605" s="851"/>
      <c r="AB605" s="851"/>
      <c r="AC605" s="851"/>
      <c r="AD605" s="851"/>
      <c r="AE605" s="851"/>
      <c r="AF605" s="837"/>
    </row>
    <row r="606" spans="1:32">
      <c r="A606" s="906">
        <v>578</v>
      </c>
      <c r="B606" s="907" t="s">
        <v>3956</v>
      </c>
      <c r="C606" s="828">
        <v>7407121</v>
      </c>
      <c r="D606" s="829" t="s">
        <v>3961</v>
      </c>
      <c r="E606" s="830"/>
      <c r="F606" s="831">
        <v>5</v>
      </c>
      <c r="G606" s="830"/>
      <c r="H606" s="830"/>
      <c r="I606" s="830"/>
      <c r="J606" s="831">
        <v>2</v>
      </c>
      <c r="K606" s="830"/>
      <c r="L606" s="830"/>
      <c r="M606" s="830"/>
      <c r="N606" s="830"/>
      <c r="O606" s="830"/>
      <c r="P606" s="830"/>
      <c r="Q606" s="832">
        <f t="shared" si="8"/>
        <v>7</v>
      </c>
      <c r="R606" s="833" t="s">
        <v>3959</v>
      </c>
      <c r="S606" s="836"/>
      <c r="T606" s="851"/>
      <c r="U606" s="851"/>
      <c r="V606" s="851"/>
      <c r="W606" s="851"/>
      <c r="X606" s="851"/>
      <c r="Y606" s="851"/>
      <c r="Z606" s="851"/>
      <c r="AA606" s="851"/>
      <c r="AB606" s="851"/>
      <c r="AC606" s="851"/>
      <c r="AD606" s="851"/>
      <c r="AE606" s="851"/>
      <c r="AF606" s="837"/>
    </row>
    <row r="607" spans="1:32" ht="52.5">
      <c r="A607" s="906">
        <v>579</v>
      </c>
      <c r="B607" s="907" t="s">
        <v>3956</v>
      </c>
      <c r="C607" s="828" t="s">
        <v>3962</v>
      </c>
      <c r="D607" s="829" t="s">
        <v>3963</v>
      </c>
      <c r="E607" s="830" t="s">
        <v>4794</v>
      </c>
      <c r="F607" s="830" t="s">
        <v>4794</v>
      </c>
      <c r="G607" s="830" t="s">
        <v>4794</v>
      </c>
      <c r="H607" s="831">
        <v>1</v>
      </c>
      <c r="I607" s="831">
        <v>1</v>
      </c>
      <c r="J607" s="831">
        <v>1</v>
      </c>
      <c r="K607" s="831">
        <v>1</v>
      </c>
      <c r="L607" s="831">
        <v>1</v>
      </c>
      <c r="M607" s="830" t="s">
        <v>4794</v>
      </c>
      <c r="N607" s="830" t="s">
        <v>4794</v>
      </c>
      <c r="O607" s="830" t="s">
        <v>4794</v>
      </c>
      <c r="P607" s="830" t="s">
        <v>4794</v>
      </c>
      <c r="Q607" s="832">
        <f t="shared" si="8"/>
        <v>5</v>
      </c>
      <c r="R607" s="833" t="s">
        <v>4025</v>
      </c>
      <c r="S607" s="836"/>
      <c r="T607" s="851"/>
      <c r="U607" s="851"/>
      <c r="V607" s="851"/>
      <c r="W607" s="851"/>
      <c r="X607" s="851"/>
      <c r="Y607" s="851"/>
      <c r="Z607" s="851"/>
      <c r="AA607" s="851"/>
      <c r="AB607" s="851"/>
      <c r="AC607" s="851"/>
      <c r="AD607" s="851"/>
      <c r="AE607" s="851"/>
      <c r="AF607" s="837"/>
    </row>
    <row r="608" spans="1:32" ht="52.5">
      <c r="A608" s="906">
        <v>580</v>
      </c>
      <c r="B608" s="907" t="s">
        <v>3956</v>
      </c>
      <c r="C608" s="828" t="s">
        <v>3964</v>
      </c>
      <c r="D608" s="829" t="s">
        <v>3965</v>
      </c>
      <c r="E608" s="830" t="s">
        <v>4794</v>
      </c>
      <c r="F608" s="830" t="s">
        <v>4794</v>
      </c>
      <c r="G608" s="830" t="s">
        <v>4794</v>
      </c>
      <c r="H608" s="831">
        <v>1</v>
      </c>
      <c r="I608" s="831">
        <v>1</v>
      </c>
      <c r="J608" s="831">
        <v>1</v>
      </c>
      <c r="K608" s="831">
        <v>1</v>
      </c>
      <c r="L608" s="831">
        <v>1</v>
      </c>
      <c r="M608" s="830" t="s">
        <v>4794</v>
      </c>
      <c r="N608" s="830" t="s">
        <v>4794</v>
      </c>
      <c r="O608" s="830" t="s">
        <v>4794</v>
      </c>
      <c r="P608" s="830" t="s">
        <v>4794</v>
      </c>
      <c r="Q608" s="832">
        <f t="shared" si="8"/>
        <v>5</v>
      </c>
      <c r="R608" s="833" t="s">
        <v>4025</v>
      </c>
      <c r="S608" s="836"/>
      <c r="T608" s="892"/>
      <c r="U608" s="893"/>
      <c r="V608" s="893"/>
      <c r="W608" s="893"/>
      <c r="X608" s="893"/>
      <c r="Y608" s="893"/>
      <c r="Z608" s="893"/>
      <c r="AA608" s="893"/>
      <c r="AB608" s="893"/>
      <c r="AC608" s="893"/>
      <c r="AD608" s="893"/>
      <c r="AE608" s="893"/>
      <c r="AF608" s="837"/>
    </row>
    <row r="609" spans="1:32" ht="31.5">
      <c r="A609" s="906">
        <v>581</v>
      </c>
      <c r="B609" s="907" t="s">
        <v>3956</v>
      </c>
      <c r="C609" s="828" t="s">
        <v>3966</v>
      </c>
      <c r="D609" s="829" t="s">
        <v>3967</v>
      </c>
      <c r="E609" s="830" t="s">
        <v>4794</v>
      </c>
      <c r="F609" s="830"/>
      <c r="G609" s="830" t="s">
        <v>4794</v>
      </c>
      <c r="H609" s="830"/>
      <c r="I609" s="831">
        <v>5</v>
      </c>
      <c r="J609" s="830"/>
      <c r="K609" s="831">
        <v>5</v>
      </c>
      <c r="L609" s="830" t="s">
        <v>4794</v>
      </c>
      <c r="M609" s="830" t="s">
        <v>4794</v>
      </c>
      <c r="N609" s="830" t="s">
        <v>4794</v>
      </c>
      <c r="O609" s="830"/>
      <c r="P609" s="830"/>
      <c r="Q609" s="832">
        <f t="shared" si="8"/>
        <v>10</v>
      </c>
      <c r="R609" s="833" t="s">
        <v>4025</v>
      </c>
      <c r="S609" s="836"/>
      <c r="T609" s="892"/>
      <c r="U609" s="893"/>
      <c r="V609" s="893"/>
      <c r="W609" s="893"/>
      <c r="X609" s="893"/>
      <c r="Y609" s="893"/>
      <c r="Z609" s="893"/>
      <c r="AA609" s="893"/>
      <c r="AB609" s="893"/>
      <c r="AC609" s="893"/>
      <c r="AD609" s="893"/>
      <c r="AE609" s="893"/>
      <c r="AF609" s="837"/>
    </row>
    <row r="610" spans="1:32" ht="31.5">
      <c r="A610" s="906">
        <v>582</v>
      </c>
      <c r="B610" s="907" t="s">
        <v>3956</v>
      </c>
      <c r="C610" s="828" t="s">
        <v>3968</v>
      </c>
      <c r="D610" s="829" t="s">
        <v>3969</v>
      </c>
      <c r="E610" s="830" t="s">
        <v>4794</v>
      </c>
      <c r="F610" s="830"/>
      <c r="G610" s="830" t="s">
        <v>4794</v>
      </c>
      <c r="H610" s="831">
        <v>10</v>
      </c>
      <c r="I610" s="831">
        <v>10</v>
      </c>
      <c r="J610" s="831">
        <v>10</v>
      </c>
      <c r="K610" s="830"/>
      <c r="L610" s="830" t="s">
        <v>4794</v>
      </c>
      <c r="M610" s="830"/>
      <c r="N610" s="830"/>
      <c r="O610" s="830"/>
      <c r="P610" s="830"/>
      <c r="Q610" s="832">
        <f t="shared" si="8"/>
        <v>30</v>
      </c>
      <c r="R610" s="833" t="s">
        <v>4025</v>
      </c>
      <c r="S610" s="836"/>
      <c r="T610" s="892"/>
      <c r="U610" s="893"/>
      <c r="V610" s="893"/>
      <c r="W610" s="893"/>
      <c r="X610" s="893"/>
      <c r="Y610" s="893"/>
      <c r="Z610" s="893"/>
      <c r="AA610" s="893"/>
      <c r="AB610" s="893"/>
      <c r="AC610" s="893"/>
      <c r="AD610" s="893"/>
      <c r="AE610" s="893"/>
      <c r="AF610" s="837"/>
    </row>
    <row r="611" spans="1:32" ht="42">
      <c r="A611" s="906">
        <v>583</v>
      </c>
      <c r="B611" s="907" t="s">
        <v>3956</v>
      </c>
      <c r="C611" s="828" t="s">
        <v>3970</v>
      </c>
      <c r="D611" s="829" t="s">
        <v>3971</v>
      </c>
      <c r="E611" s="830" t="s">
        <v>4794</v>
      </c>
      <c r="F611" s="830" t="s">
        <v>4794</v>
      </c>
      <c r="G611" s="830" t="s">
        <v>4794</v>
      </c>
      <c r="H611" s="831">
        <v>10</v>
      </c>
      <c r="I611" s="830" t="s">
        <v>4794</v>
      </c>
      <c r="J611" s="830" t="s">
        <v>4794</v>
      </c>
      <c r="K611" s="831">
        <v>10</v>
      </c>
      <c r="L611" s="830" t="s">
        <v>4794</v>
      </c>
      <c r="M611" s="830" t="s">
        <v>4794</v>
      </c>
      <c r="N611" s="830" t="s">
        <v>4794</v>
      </c>
      <c r="O611" s="830" t="s">
        <v>4794</v>
      </c>
      <c r="P611" s="830" t="s">
        <v>4794</v>
      </c>
      <c r="Q611" s="832">
        <f t="shared" si="8"/>
        <v>20</v>
      </c>
      <c r="R611" s="833" t="s">
        <v>4025</v>
      </c>
      <c r="S611" s="836"/>
      <c r="T611" s="892"/>
      <c r="U611" s="893"/>
      <c r="V611" s="893"/>
      <c r="W611" s="893"/>
      <c r="X611" s="893"/>
      <c r="Y611" s="893"/>
      <c r="Z611" s="893"/>
      <c r="AA611" s="893"/>
      <c r="AB611" s="893"/>
      <c r="AC611" s="893"/>
      <c r="AD611" s="893"/>
      <c r="AE611" s="893"/>
      <c r="AF611" s="837"/>
    </row>
    <row r="612" spans="1:32" ht="31.5">
      <c r="A612" s="906">
        <v>584</v>
      </c>
      <c r="B612" s="907" t="s">
        <v>3956</v>
      </c>
      <c r="C612" s="828" t="s">
        <v>3972</v>
      </c>
      <c r="D612" s="829" t="s">
        <v>3973</v>
      </c>
      <c r="E612" s="830"/>
      <c r="F612" s="830"/>
      <c r="G612" s="830"/>
      <c r="H612" s="831">
        <v>20</v>
      </c>
      <c r="I612" s="830"/>
      <c r="J612" s="830"/>
      <c r="K612" s="830"/>
      <c r="L612" s="830"/>
      <c r="M612" s="830"/>
      <c r="N612" s="830"/>
      <c r="O612" s="830"/>
      <c r="P612" s="830"/>
      <c r="Q612" s="832">
        <f t="shared" si="8"/>
        <v>20</v>
      </c>
      <c r="R612" s="833" t="s">
        <v>3367</v>
      </c>
      <c r="S612" s="836"/>
      <c r="T612" s="872"/>
      <c r="U612" s="872"/>
      <c r="V612" s="872"/>
      <c r="W612" s="872"/>
      <c r="X612" s="872"/>
      <c r="Y612" s="872"/>
      <c r="Z612" s="872"/>
      <c r="AA612" s="872"/>
      <c r="AB612" s="872"/>
      <c r="AC612" s="872"/>
      <c r="AD612" s="872"/>
      <c r="AE612" s="872"/>
      <c r="AF612" s="837"/>
    </row>
    <row r="613" spans="1:32" ht="31.5">
      <c r="A613" s="906">
        <v>585</v>
      </c>
      <c r="B613" s="907" t="s">
        <v>3956</v>
      </c>
      <c r="C613" s="828">
        <v>9104694</v>
      </c>
      <c r="D613" s="829" t="s">
        <v>3974</v>
      </c>
      <c r="E613" s="830" t="s">
        <v>4794</v>
      </c>
      <c r="F613" s="830"/>
      <c r="G613" s="830"/>
      <c r="H613" s="831">
        <v>58</v>
      </c>
      <c r="I613" s="830"/>
      <c r="J613" s="830"/>
      <c r="K613" s="830"/>
      <c r="L613" s="830"/>
      <c r="M613" s="830"/>
      <c r="N613" s="830"/>
      <c r="O613" s="830" t="s">
        <v>4794</v>
      </c>
      <c r="P613" s="830" t="s">
        <v>4794</v>
      </c>
      <c r="Q613" s="832">
        <f t="shared" si="8"/>
        <v>58</v>
      </c>
      <c r="R613" s="833" t="s">
        <v>4025</v>
      </c>
      <c r="S613" s="836"/>
      <c r="T613" s="851"/>
      <c r="U613" s="851"/>
      <c r="V613" s="851"/>
      <c r="W613" s="851"/>
      <c r="X613" s="851"/>
      <c r="Y613" s="851"/>
      <c r="Z613" s="851"/>
      <c r="AA613" s="851"/>
      <c r="AB613" s="851"/>
      <c r="AC613" s="851"/>
      <c r="AD613" s="851"/>
      <c r="AE613" s="851"/>
      <c r="AF613" s="837"/>
    </row>
    <row r="614" spans="1:32" ht="21">
      <c r="A614" s="906">
        <v>586</v>
      </c>
      <c r="B614" s="907" t="s">
        <v>3956</v>
      </c>
      <c r="C614" s="828" t="s">
        <v>3975</v>
      </c>
      <c r="D614" s="829" t="s">
        <v>870</v>
      </c>
      <c r="E614" s="830" t="s">
        <v>4794</v>
      </c>
      <c r="F614" s="830" t="s">
        <v>4794</v>
      </c>
      <c r="G614" s="830"/>
      <c r="H614" s="830" t="s">
        <v>4794</v>
      </c>
      <c r="I614" s="830" t="s">
        <v>4794</v>
      </c>
      <c r="J614" s="830" t="s">
        <v>4794</v>
      </c>
      <c r="K614" s="830" t="s">
        <v>4794</v>
      </c>
      <c r="L614" s="830" t="s">
        <v>4794</v>
      </c>
      <c r="M614" s="831">
        <v>2</v>
      </c>
      <c r="N614" s="830" t="s">
        <v>4794</v>
      </c>
      <c r="O614" s="830"/>
      <c r="P614" s="830" t="s">
        <v>4794</v>
      </c>
      <c r="Q614" s="832">
        <f t="shared" si="8"/>
        <v>2</v>
      </c>
      <c r="R614" s="833" t="s">
        <v>3367</v>
      </c>
      <c r="S614" s="836"/>
      <c r="T614" s="851"/>
      <c r="U614" s="851"/>
      <c r="V614" s="851"/>
      <c r="W614" s="851"/>
      <c r="X614" s="851"/>
      <c r="Y614" s="851"/>
      <c r="Z614" s="851"/>
      <c r="AA614" s="851"/>
      <c r="AB614" s="851"/>
      <c r="AC614" s="851"/>
      <c r="AD614" s="851"/>
      <c r="AE614" s="851"/>
      <c r="AF614" s="837"/>
    </row>
    <row r="615" spans="1:32" ht="31.5">
      <c r="A615" s="906">
        <v>587</v>
      </c>
      <c r="B615" s="907" t="s">
        <v>3956</v>
      </c>
      <c r="C615" s="828" t="s">
        <v>871</v>
      </c>
      <c r="D615" s="829" t="s">
        <v>872</v>
      </c>
      <c r="E615" s="831">
        <v>2</v>
      </c>
      <c r="F615" s="831">
        <v>2</v>
      </c>
      <c r="G615" s="831">
        <v>2</v>
      </c>
      <c r="H615" s="831">
        <v>2</v>
      </c>
      <c r="I615" s="831">
        <v>2</v>
      </c>
      <c r="J615" s="831">
        <v>2</v>
      </c>
      <c r="K615" s="831">
        <v>2</v>
      </c>
      <c r="L615" s="831">
        <v>2</v>
      </c>
      <c r="M615" s="831">
        <v>2</v>
      </c>
      <c r="N615" s="831">
        <v>2</v>
      </c>
      <c r="O615" s="831">
        <v>2</v>
      </c>
      <c r="P615" s="831">
        <v>2</v>
      </c>
      <c r="Q615" s="832">
        <f t="shared" si="8"/>
        <v>24</v>
      </c>
      <c r="R615" s="833" t="s">
        <v>3959</v>
      </c>
      <c r="S615" s="836"/>
      <c r="T615" s="851"/>
      <c r="U615" s="851"/>
      <c r="V615" s="851"/>
      <c r="W615" s="851"/>
      <c r="X615" s="851"/>
      <c r="Y615" s="851"/>
      <c r="Z615" s="851"/>
      <c r="AA615" s="851"/>
      <c r="AB615" s="851"/>
      <c r="AC615" s="851"/>
      <c r="AD615" s="851"/>
      <c r="AE615" s="851"/>
      <c r="AF615" s="837"/>
    </row>
    <row r="616" spans="1:32" ht="31.5">
      <c r="A616" s="906">
        <v>588</v>
      </c>
      <c r="B616" s="907" t="s">
        <v>3956</v>
      </c>
      <c r="C616" s="828" t="s">
        <v>873</v>
      </c>
      <c r="D616" s="829" t="s">
        <v>874</v>
      </c>
      <c r="E616" s="831">
        <v>64</v>
      </c>
      <c r="F616" s="831">
        <v>64</v>
      </c>
      <c r="G616" s="831">
        <v>64</v>
      </c>
      <c r="H616" s="831">
        <v>64</v>
      </c>
      <c r="I616" s="831">
        <v>64</v>
      </c>
      <c r="J616" s="831">
        <v>64</v>
      </c>
      <c r="K616" s="831">
        <v>64</v>
      </c>
      <c r="L616" s="831">
        <v>64</v>
      </c>
      <c r="M616" s="831">
        <v>64</v>
      </c>
      <c r="N616" s="831">
        <v>64</v>
      </c>
      <c r="O616" s="831">
        <v>64</v>
      </c>
      <c r="P616" s="831">
        <v>64</v>
      </c>
      <c r="Q616" s="832">
        <f t="shared" si="8"/>
        <v>768</v>
      </c>
      <c r="R616" s="833" t="s">
        <v>4025</v>
      </c>
      <c r="S616" s="836"/>
      <c r="T616" s="851"/>
      <c r="U616" s="851"/>
      <c r="V616" s="851"/>
      <c r="W616" s="851"/>
      <c r="X616" s="851"/>
      <c r="Y616" s="851"/>
      <c r="Z616" s="851"/>
      <c r="AA616" s="851"/>
      <c r="AB616" s="851"/>
      <c r="AC616" s="851"/>
      <c r="AD616" s="851"/>
      <c r="AE616" s="851"/>
      <c r="AF616" s="837"/>
    </row>
    <row r="617" spans="1:32" ht="31.5">
      <c r="A617" s="906">
        <v>589</v>
      </c>
      <c r="B617" s="907" t="s">
        <v>3956</v>
      </c>
      <c r="C617" s="828" t="s">
        <v>875</v>
      </c>
      <c r="D617" s="829" t="s">
        <v>876</v>
      </c>
      <c r="E617" s="830"/>
      <c r="F617" s="830"/>
      <c r="G617" s="830" t="s">
        <v>4794</v>
      </c>
      <c r="H617" s="831">
        <v>1</v>
      </c>
      <c r="I617" s="830"/>
      <c r="J617" s="831">
        <v>1</v>
      </c>
      <c r="K617" s="830" t="s">
        <v>4794</v>
      </c>
      <c r="L617" s="831">
        <v>1</v>
      </c>
      <c r="M617" s="831">
        <v>1</v>
      </c>
      <c r="N617" s="830" t="s">
        <v>4794</v>
      </c>
      <c r="O617" s="830" t="s">
        <v>4794</v>
      </c>
      <c r="P617" s="830" t="s">
        <v>4794</v>
      </c>
      <c r="Q617" s="832">
        <f t="shared" si="8"/>
        <v>4</v>
      </c>
      <c r="R617" s="833" t="s">
        <v>4025</v>
      </c>
      <c r="S617" s="836"/>
      <c r="T617" s="851"/>
      <c r="U617" s="851"/>
      <c r="V617" s="851"/>
      <c r="W617" s="851"/>
      <c r="X617" s="851"/>
      <c r="Y617" s="851"/>
      <c r="Z617" s="851"/>
      <c r="AA617" s="851"/>
      <c r="AB617" s="851"/>
      <c r="AC617" s="851"/>
      <c r="AD617" s="851"/>
      <c r="AE617" s="851"/>
      <c r="AF617" s="837"/>
    </row>
    <row r="618" spans="1:32" ht="42">
      <c r="A618" s="906">
        <v>590</v>
      </c>
      <c r="B618" s="907" t="s">
        <v>3956</v>
      </c>
      <c r="C618" s="828" t="s">
        <v>877</v>
      </c>
      <c r="D618" s="829" t="s">
        <v>878</v>
      </c>
      <c r="E618" s="830" t="s">
        <v>4794</v>
      </c>
      <c r="F618" s="830"/>
      <c r="G618" s="830"/>
      <c r="H618" s="830" t="s">
        <v>4794</v>
      </c>
      <c r="I618" s="831">
        <v>1</v>
      </c>
      <c r="J618" s="831">
        <v>1</v>
      </c>
      <c r="K618" s="830" t="s">
        <v>4794</v>
      </c>
      <c r="L618" s="831">
        <v>1</v>
      </c>
      <c r="M618" s="830"/>
      <c r="N618" s="830" t="s">
        <v>4794</v>
      </c>
      <c r="O618" s="830" t="s">
        <v>4794</v>
      </c>
      <c r="P618" s="830" t="s">
        <v>4794</v>
      </c>
      <c r="Q618" s="832">
        <f t="shared" si="8"/>
        <v>3</v>
      </c>
      <c r="R618" s="833" t="s">
        <v>4025</v>
      </c>
      <c r="S618" s="836"/>
      <c r="T618" s="851"/>
      <c r="U618" s="851"/>
      <c r="V618" s="851"/>
      <c r="W618" s="851"/>
      <c r="X618" s="851"/>
      <c r="Y618" s="851"/>
      <c r="Z618" s="851"/>
      <c r="AA618" s="851"/>
      <c r="AB618" s="851"/>
      <c r="AC618" s="851"/>
      <c r="AD618" s="851"/>
      <c r="AE618" s="851"/>
      <c r="AF618" s="837"/>
    </row>
    <row r="619" spans="1:32" ht="31.5">
      <c r="A619" s="906">
        <v>591</v>
      </c>
      <c r="B619" s="907" t="s">
        <v>3956</v>
      </c>
      <c r="C619" s="828" t="s">
        <v>879</v>
      </c>
      <c r="D619" s="829" t="s">
        <v>880</v>
      </c>
      <c r="E619" s="831">
        <v>200</v>
      </c>
      <c r="F619" s="831">
        <v>200</v>
      </c>
      <c r="G619" s="831">
        <v>200</v>
      </c>
      <c r="H619" s="831">
        <v>200</v>
      </c>
      <c r="I619" s="831">
        <v>200</v>
      </c>
      <c r="J619" s="831">
        <v>200</v>
      </c>
      <c r="K619" s="831">
        <v>200</v>
      </c>
      <c r="L619" s="831">
        <v>200</v>
      </c>
      <c r="M619" s="831">
        <v>200</v>
      </c>
      <c r="N619" s="831">
        <v>200</v>
      </c>
      <c r="O619" s="831">
        <v>200</v>
      </c>
      <c r="P619" s="831">
        <v>200</v>
      </c>
      <c r="Q619" s="832">
        <f t="shared" si="8"/>
        <v>2400</v>
      </c>
      <c r="R619" s="833" t="s">
        <v>3714</v>
      </c>
      <c r="S619" s="836"/>
      <c r="T619" s="851"/>
      <c r="U619" s="851"/>
      <c r="V619" s="851"/>
      <c r="W619" s="851"/>
      <c r="X619" s="851"/>
      <c r="Y619" s="851"/>
      <c r="Z619" s="851"/>
      <c r="AA619" s="851"/>
      <c r="AB619" s="851"/>
      <c r="AC619" s="851"/>
      <c r="AD619" s="851"/>
      <c r="AE619" s="851"/>
      <c r="AF619" s="837"/>
    </row>
    <row r="620" spans="1:32" ht="21">
      <c r="A620" s="906">
        <v>592</v>
      </c>
      <c r="B620" s="907" t="s">
        <v>3956</v>
      </c>
      <c r="C620" s="828" t="s">
        <v>881</v>
      </c>
      <c r="D620" s="829" t="s">
        <v>882</v>
      </c>
      <c r="E620" s="830"/>
      <c r="F620" s="830"/>
      <c r="G620" s="830"/>
      <c r="H620" s="831">
        <v>7</v>
      </c>
      <c r="I620" s="831">
        <v>7</v>
      </c>
      <c r="J620" s="831">
        <v>8</v>
      </c>
      <c r="K620" s="831">
        <v>5</v>
      </c>
      <c r="L620" s="831">
        <v>5</v>
      </c>
      <c r="M620" s="831">
        <v>5</v>
      </c>
      <c r="N620" s="830"/>
      <c r="O620" s="830"/>
      <c r="P620" s="830"/>
      <c r="Q620" s="832">
        <f t="shared" si="8"/>
        <v>37</v>
      </c>
      <c r="R620" s="833" t="s">
        <v>4025</v>
      </c>
      <c r="S620" s="836"/>
      <c r="T620" s="892"/>
      <c r="U620" s="893"/>
      <c r="V620" s="893"/>
      <c r="W620" s="893"/>
      <c r="X620" s="893"/>
      <c r="Y620" s="893"/>
      <c r="Z620" s="893"/>
      <c r="AA620" s="893"/>
      <c r="AB620" s="893"/>
      <c r="AC620" s="893"/>
      <c r="AD620" s="893"/>
      <c r="AE620" s="893"/>
      <c r="AF620" s="837"/>
    </row>
    <row r="621" spans="1:32" ht="52.5">
      <c r="A621" s="906">
        <v>593</v>
      </c>
      <c r="B621" s="907" t="s">
        <v>3956</v>
      </c>
      <c r="C621" s="828" t="s">
        <v>883</v>
      </c>
      <c r="D621" s="829" t="s">
        <v>884</v>
      </c>
      <c r="E621" s="830" t="s">
        <v>4794</v>
      </c>
      <c r="F621" s="830"/>
      <c r="G621" s="830"/>
      <c r="H621" s="830" t="s">
        <v>4794</v>
      </c>
      <c r="I621" s="830"/>
      <c r="J621" s="830" t="s">
        <v>4794</v>
      </c>
      <c r="K621" s="831">
        <v>1</v>
      </c>
      <c r="L621" s="830"/>
      <c r="M621" s="830" t="s">
        <v>4794</v>
      </c>
      <c r="N621" s="830" t="s">
        <v>4794</v>
      </c>
      <c r="O621" s="830"/>
      <c r="P621" s="830" t="s">
        <v>4794</v>
      </c>
      <c r="Q621" s="832">
        <f t="shared" si="8"/>
        <v>1</v>
      </c>
      <c r="R621" s="833" t="s">
        <v>4025</v>
      </c>
      <c r="S621" s="836"/>
      <c r="T621" s="892"/>
      <c r="U621" s="893"/>
      <c r="V621" s="893"/>
      <c r="W621" s="893"/>
      <c r="X621" s="893"/>
      <c r="Y621" s="893"/>
      <c r="Z621" s="893"/>
      <c r="AA621" s="893"/>
      <c r="AB621" s="893"/>
      <c r="AC621" s="893"/>
      <c r="AD621" s="893"/>
      <c r="AE621" s="893"/>
      <c r="AF621" s="837"/>
    </row>
    <row r="622" spans="1:32" ht="21">
      <c r="A622" s="906">
        <v>594</v>
      </c>
      <c r="B622" s="907" t="s">
        <v>3956</v>
      </c>
      <c r="C622" s="828" t="s">
        <v>885</v>
      </c>
      <c r="D622" s="829" t="s">
        <v>886</v>
      </c>
      <c r="E622" s="830"/>
      <c r="F622" s="830"/>
      <c r="G622" s="830"/>
      <c r="H622" s="831">
        <v>3</v>
      </c>
      <c r="I622" s="831">
        <v>3</v>
      </c>
      <c r="J622" s="831">
        <v>3</v>
      </c>
      <c r="K622" s="831">
        <v>3</v>
      </c>
      <c r="L622" s="831">
        <v>3</v>
      </c>
      <c r="M622" s="830"/>
      <c r="N622" s="830"/>
      <c r="O622" s="830"/>
      <c r="P622" s="830"/>
      <c r="Q622" s="832">
        <f t="shared" si="8"/>
        <v>15</v>
      </c>
      <c r="R622" s="833" t="s">
        <v>3959</v>
      </c>
      <c r="S622" s="836"/>
      <c r="T622" s="851"/>
      <c r="U622" s="851"/>
      <c r="V622" s="851"/>
      <c r="W622" s="851"/>
      <c r="X622" s="851"/>
      <c r="Y622" s="851"/>
      <c r="Z622" s="851"/>
      <c r="AA622" s="851"/>
      <c r="AB622" s="851"/>
      <c r="AC622" s="851"/>
      <c r="AD622" s="851"/>
      <c r="AE622" s="851"/>
      <c r="AF622" s="837"/>
    </row>
    <row r="623" spans="1:32" ht="42">
      <c r="A623" s="906">
        <v>595</v>
      </c>
      <c r="B623" s="907" t="s">
        <v>3956</v>
      </c>
      <c r="C623" s="828" t="s">
        <v>887</v>
      </c>
      <c r="D623" s="829" t="s">
        <v>888</v>
      </c>
      <c r="E623" s="830"/>
      <c r="F623" s="830"/>
      <c r="G623" s="830"/>
      <c r="H623" s="831">
        <v>3</v>
      </c>
      <c r="I623" s="830"/>
      <c r="J623" s="830"/>
      <c r="K623" s="831">
        <v>3</v>
      </c>
      <c r="L623" s="830"/>
      <c r="M623" s="830"/>
      <c r="N623" s="830"/>
      <c r="O623" s="830"/>
      <c r="P623" s="830"/>
      <c r="Q623" s="832">
        <f t="shared" si="8"/>
        <v>6</v>
      </c>
      <c r="R623" s="833" t="s">
        <v>3959</v>
      </c>
      <c r="S623" s="836"/>
      <c r="T623" s="851"/>
      <c r="U623" s="851"/>
      <c r="V623" s="851"/>
      <c r="W623" s="851"/>
      <c r="X623" s="851"/>
      <c r="Y623" s="851"/>
      <c r="Z623" s="851"/>
      <c r="AA623" s="851"/>
      <c r="AB623" s="851"/>
      <c r="AC623" s="851"/>
      <c r="AD623" s="851"/>
      <c r="AE623" s="851"/>
      <c r="AF623" s="837"/>
    </row>
    <row r="624" spans="1:32" ht="42">
      <c r="A624" s="906">
        <v>596</v>
      </c>
      <c r="B624" s="907" t="s">
        <v>3956</v>
      </c>
      <c r="C624" s="828" t="s">
        <v>889</v>
      </c>
      <c r="D624" s="829" t="s">
        <v>890</v>
      </c>
      <c r="E624" s="830" t="s">
        <v>4794</v>
      </c>
      <c r="F624" s="830"/>
      <c r="G624" s="830"/>
      <c r="H624" s="831">
        <v>10</v>
      </c>
      <c r="I624" s="830"/>
      <c r="J624" s="831">
        <v>10</v>
      </c>
      <c r="K624" s="830"/>
      <c r="L624" s="830" t="s">
        <v>4794</v>
      </c>
      <c r="M624" s="830" t="s">
        <v>4794</v>
      </c>
      <c r="N624" s="830" t="s">
        <v>4794</v>
      </c>
      <c r="O624" s="830" t="s">
        <v>4794</v>
      </c>
      <c r="P624" s="830" t="s">
        <v>4794</v>
      </c>
      <c r="Q624" s="832">
        <f t="shared" si="8"/>
        <v>20</v>
      </c>
      <c r="R624" s="833" t="s">
        <v>4025</v>
      </c>
      <c r="S624" s="836"/>
      <c r="T624" s="851"/>
      <c r="U624" s="851"/>
      <c r="V624" s="851"/>
      <c r="W624" s="851"/>
      <c r="X624" s="851"/>
      <c r="Y624" s="851"/>
      <c r="Z624" s="851"/>
      <c r="AA624" s="851"/>
      <c r="AB624" s="851"/>
      <c r="AC624" s="851"/>
      <c r="AD624" s="851"/>
      <c r="AE624" s="851"/>
      <c r="AF624" s="837"/>
    </row>
    <row r="625" spans="1:32" ht="31.5">
      <c r="A625" s="906">
        <v>597</v>
      </c>
      <c r="B625" s="907" t="s">
        <v>3956</v>
      </c>
      <c r="C625" s="828" t="s">
        <v>891</v>
      </c>
      <c r="D625" s="829" t="s">
        <v>892</v>
      </c>
      <c r="E625" s="831">
        <v>1</v>
      </c>
      <c r="F625" s="831">
        <v>1</v>
      </c>
      <c r="G625" s="831">
        <v>1</v>
      </c>
      <c r="H625" s="831">
        <v>1</v>
      </c>
      <c r="I625" s="831">
        <v>1</v>
      </c>
      <c r="J625" s="831">
        <v>1</v>
      </c>
      <c r="K625" s="831">
        <v>1</v>
      </c>
      <c r="L625" s="831">
        <v>1</v>
      </c>
      <c r="M625" s="831">
        <v>1</v>
      </c>
      <c r="N625" s="831">
        <v>1</v>
      </c>
      <c r="O625" s="831">
        <v>1</v>
      </c>
      <c r="P625" s="831">
        <v>1</v>
      </c>
      <c r="Q625" s="832">
        <f t="shared" si="8"/>
        <v>12</v>
      </c>
      <c r="R625" s="833" t="s">
        <v>3959</v>
      </c>
      <c r="S625" s="836"/>
      <c r="T625" s="851"/>
      <c r="U625" s="851"/>
      <c r="V625" s="851"/>
      <c r="W625" s="851"/>
      <c r="X625" s="851"/>
      <c r="Y625" s="851"/>
      <c r="Z625" s="851"/>
      <c r="AA625" s="851"/>
      <c r="AB625" s="851"/>
      <c r="AC625" s="851"/>
      <c r="AD625" s="851"/>
      <c r="AE625" s="851"/>
      <c r="AF625" s="837"/>
    </row>
    <row r="626" spans="1:32" ht="52.5">
      <c r="A626" s="906">
        <v>598</v>
      </c>
      <c r="B626" s="907" t="s">
        <v>3956</v>
      </c>
      <c r="C626" s="828" t="s">
        <v>893</v>
      </c>
      <c r="D626" s="829" t="s">
        <v>894</v>
      </c>
      <c r="E626" s="830"/>
      <c r="F626" s="830"/>
      <c r="G626" s="830"/>
      <c r="H626" s="830"/>
      <c r="I626" s="831">
        <v>10</v>
      </c>
      <c r="J626" s="830"/>
      <c r="K626" s="830"/>
      <c r="L626" s="830"/>
      <c r="M626" s="831">
        <v>10</v>
      </c>
      <c r="N626" s="830"/>
      <c r="O626" s="830"/>
      <c r="P626" s="830"/>
      <c r="Q626" s="832">
        <f t="shared" si="8"/>
        <v>20</v>
      </c>
      <c r="R626" s="833" t="s">
        <v>3959</v>
      </c>
      <c r="S626" s="836"/>
      <c r="T626" s="851"/>
      <c r="U626" s="851"/>
      <c r="V626" s="851"/>
      <c r="W626" s="851"/>
      <c r="X626" s="851"/>
      <c r="Y626" s="851"/>
      <c r="Z626" s="851"/>
      <c r="AA626" s="851"/>
      <c r="AB626" s="851"/>
      <c r="AC626" s="851"/>
      <c r="AD626" s="851"/>
      <c r="AE626" s="851"/>
      <c r="AF626" s="837"/>
    </row>
    <row r="627" spans="1:32" ht="52.5">
      <c r="A627" s="906">
        <v>599</v>
      </c>
      <c r="B627" s="907" t="s">
        <v>3956</v>
      </c>
      <c r="C627" s="828" t="s">
        <v>895</v>
      </c>
      <c r="D627" s="829" t="s">
        <v>896</v>
      </c>
      <c r="E627" s="830"/>
      <c r="F627" s="830"/>
      <c r="G627" s="830"/>
      <c r="H627" s="830"/>
      <c r="I627" s="831">
        <v>10</v>
      </c>
      <c r="J627" s="830"/>
      <c r="K627" s="831">
        <v>10</v>
      </c>
      <c r="L627" s="830"/>
      <c r="M627" s="831">
        <v>10</v>
      </c>
      <c r="N627" s="830"/>
      <c r="O627" s="830"/>
      <c r="P627" s="830"/>
      <c r="Q627" s="832">
        <f t="shared" si="8"/>
        <v>30</v>
      </c>
      <c r="R627" s="833" t="s">
        <v>3959</v>
      </c>
      <c r="S627" s="836"/>
      <c r="T627" s="892"/>
      <c r="U627" s="893"/>
      <c r="V627" s="893"/>
      <c r="W627" s="893"/>
      <c r="X627" s="893"/>
      <c r="Y627" s="893"/>
      <c r="Z627" s="893"/>
      <c r="AA627" s="893"/>
      <c r="AB627" s="893"/>
      <c r="AC627" s="893"/>
      <c r="AD627" s="893"/>
      <c r="AE627" s="893"/>
      <c r="AF627" s="837"/>
    </row>
    <row r="628" spans="1:32" ht="31.5">
      <c r="A628" s="906">
        <v>600</v>
      </c>
      <c r="B628" s="907" t="s">
        <v>3956</v>
      </c>
      <c r="C628" s="828" t="s">
        <v>897</v>
      </c>
      <c r="D628" s="829" t="s">
        <v>898</v>
      </c>
      <c r="E628" s="831">
        <v>60</v>
      </c>
      <c r="F628" s="831">
        <v>40</v>
      </c>
      <c r="G628" s="831">
        <v>40</v>
      </c>
      <c r="H628" s="831">
        <v>60</v>
      </c>
      <c r="I628" s="831">
        <v>40</v>
      </c>
      <c r="J628" s="831">
        <v>40</v>
      </c>
      <c r="K628" s="831">
        <v>60</v>
      </c>
      <c r="L628" s="831">
        <v>40</v>
      </c>
      <c r="M628" s="831">
        <v>40</v>
      </c>
      <c r="N628" s="831">
        <v>60</v>
      </c>
      <c r="O628" s="831">
        <v>40</v>
      </c>
      <c r="P628" s="831">
        <v>40</v>
      </c>
      <c r="Q628" s="832">
        <f t="shared" si="8"/>
        <v>560</v>
      </c>
      <c r="R628" s="833" t="s">
        <v>3959</v>
      </c>
      <c r="S628" s="836"/>
      <c r="T628" s="851"/>
      <c r="U628" s="851"/>
      <c r="V628" s="851"/>
      <c r="W628" s="851"/>
      <c r="X628" s="851"/>
      <c r="Y628" s="851"/>
      <c r="Z628" s="851"/>
      <c r="AA628" s="851"/>
      <c r="AB628" s="851"/>
      <c r="AC628" s="851"/>
      <c r="AD628" s="851"/>
      <c r="AE628" s="851"/>
      <c r="AF628" s="837"/>
    </row>
    <row r="629" spans="1:32" ht="52.5">
      <c r="A629" s="906">
        <v>601</v>
      </c>
      <c r="B629" s="907" t="s">
        <v>3956</v>
      </c>
      <c r="C629" s="828" t="s">
        <v>899</v>
      </c>
      <c r="D629" s="829" t="s">
        <v>900</v>
      </c>
      <c r="E629" s="831">
        <v>5</v>
      </c>
      <c r="F629" s="831">
        <v>5</v>
      </c>
      <c r="G629" s="831">
        <v>5</v>
      </c>
      <c r="H629" s="830"/>
      <c r="I629" s="830"/>
      <c r="J629" s="831">
        <v>5</v>
      </c>
      <c r="K629" s="831">
        <v>5</v>
      </c>
      <c r="L629" s="830"/>
      <c r="M629" s="830"/>
      <c r="N629" s="831">
        <v>5</v>
      </c>
      <c r="O629" s="831">
        <v>5</v>
      </c>
      <c r="P629" s="831">
        <v>5</v>
      </c>
      <c r="Q629" s="832">
        <f t="shared" si="8"/>
        <v>40</v>
      </c>
      <c r="R629" s="833" t="s">
        <v>3959</v>
      </c>
      <c r="S629" s="836"/>
      <c r="T629" s="851"/>
      <c r="U629" s="851"/>
      <c r="V629" s="851"/>
      <c r="W629" s="851"/>
      <c r="X629" s="851"/>
      <c r="Y629" s="851"/>
      <c r="Z629" s="851"/>
      <c r="AA629" s="851"/>
      <c r="AB629" s="851"/>
      <c r="AC629" s="851"/>
      <c r="AD629" s="851"/>
      <c r="AE629" s="851"/>
      <c r="AF629" s="837"/>
    </row>
    <row r="630" spans="1:32" ht="31.5">
      <c r="A630" s="906">
        <v>602</v>
      </c>
      <c r="B630" s="907" t="s">
        <v>3956</v>
      </c>
      <c r="C630" s="828" t="s">
        <v>901</v>
      </c>
      <c r="D630" s="829" t="s">
        <v>902</v>
      </c>
      <c r="E630" s="830" t="s">
        <v>4794</v>
      </c>
      <c r="F630" s="830"/>
      <c r="G630" s="830" t="s">
        <v>4794</v>
      </c>
      <c r="H630" s="830"/>
      <c r="I630" s="830" t="s">
        <v>4794</v>
      </c>
      <c r="J630" s="830"/>
      <c r="K630" s="830" t="s">
        <v>4794</v>
      </c>
      <c r="L630" s="830"/>
      <c r="M630" s="831">
        <v>6</v>
      </c>
      <c r="N630" s="830"/>
      <c r="O630" s="830"/>
      <c r="P630" s="830"/>
      <c r="Q630" s="832">
        <f t="shared" si="8"/>
        <v>6</v>
      </c>
      <c r="R630" s="833" t="s">
        <v>4025</v>
      </c>
      <c r="S630" s="836"/>
      <c r="T630" s="851"/>
      <c r="U630" s="851"/>
      <c r="V630" s="851"/>
      <c r="W630" s="851"/>
      <c r="X630" s="851"/>
      <c r="Y630" s="851"/>
      <c r="Z630" s="851"/>
      <c r="AA630" s="851"/>
      <c r="AB630" s="851"/>
      <c r="AC630" s="851"/>
      <c r="AD630" s="851"/>
      <c r="AE630" s="851"/>
      <c r="AF630" s="837"/>
    </row>
    <row r="631" spans="1:32" ht="42">
      <c r="A631" s="906">
        <v>603</v>
      </c>
      <c r="B631" s="907" t="s">
        <v>3956</v>
      </c>
      <c r="C631" s="828" t="s">
        <v>903</v>
      </c>
      <c r="D631" s="829" t="s">
        <v>904</v>
      </c>
      <c r="E631" s="830"/>
      <c r="F631" s="830"/>
      <c r="G631" s="830"/>
      <c r="H631" s="831">
        <v>10</v>
      </c>
      <c r="I631" s="831">
        <v>10</v>
      </c>
      <c r="J631" s="831">
        <v>10</v>
      </c>
      <c r="K631" s="830"/>
      <c r="L631" s="830"/>
      <c r="M631" s="830"/>
      <c r="N631" s="830"/>
      <c r="O631" s="830"/>
      <c r="P631" s="830"/>
      <c r="Q631" s="832">
        <f t="shared" si="8"/>
        <v>30</v>
      </c>
      <c r="R631" s="833" t="s">
        <v>4025</v>
      </c>
      <c r="S631" s="836"/>
      <c r="T631" s="851"/>
      <c r="U631" s="851"/>
      <c r="V631" s="851"/>
      <c r="W631" s="851"/>
      <c r="X631" s="851"/>
      <c r="Y631" s="851"/>
      <c r="Z631" s="851"/>
      <c r="AA631" s="851"/>
      <c r="AB631" s="851"/>
      <c r="AC631" s="851"/>
      <c r="AD631" s="851"/>
      <c r="AE631" s="851"/>
      <c r="AF631" s="837"/>
    </row>
    <row r="632" spans="1:32" ht="21">
      <c r="A632" s="906">
        <v>604</v>
      </c>
      <c r="B632" s="907" t="s">
        <v>3956</v>
      </c>
      <c r="C632" s="828" t="s">
        <v>905</v>
      </c>
      <c r="D632" s="829" t="s">
        <v>906</v>
      </c>
      <c r="E632" s="830"/>
      <c r="F632" s="831">
        <v>0</v>
      </c>
      <c r="G632" s="830"/>
      <c r="H632" s="830"/>
      <c r="I632" s="830" t="s">
        <v>4794</v>
      </c>
      <c r="J632" s="830" t="s">
        <v>4794</v>
      </c>
      <c r="K632" s="830" t="s">
        <v>4794</v>
      </c>
      <c r="L632" s="830" t="s">
        <v>4794</v>
      </c>
      <c r="M632" s="831">
        <v>15</v>
      </c>
      <c r="N632" s="831">
        <v>15</v>
      </c>
      <c r="O632" s="830"/>
      <c r="P632" s="830" t="s">
        <v>4794</v>
      </c>
      <c r="Q632" s="832">
        <f t="shared" si="8"/>
        <v>30</v>
      </c>
      <c r="R632" s="833" t="s">
        <v>4025</v>
      </c>
      <c r="S632" s="836"/>
      <c r="T632" s="851"/>
      <c r="U632" s="851"/>
      <c r="V632" s="851"/>
      <c r="W632" s="851"/>
      <c r="X632" s="851"/>
      <c r="Y632" s="851"/>
      <c r="Z632" s="851"/>
      <c r="AA632" s="851"/>
      <c r="AB632" s="851"/>
      <c r="AC632" s="851"/>
      <c r="AD632" s="851"/>
      <c r="AE632" s="851"/>
      <c r="AF632" s="837"/>
    </row>
    <row r="633" spans="1:32" ht="52.5">
      <c r="A633" s="906">
        <v>605</v>
      </c>
      <c r="B633" s="907" t="s">
        <v>3956</v>
      </c>
      <c r="C633" s="828" t="s">
        <v>907</v>
      </c>
      <c r="D633" s="829" t="s">
        <v>908</v>
      </c>
      <c r="E633" s="830" t="s">
        <v>4794</v>
      </c>
      <c r="F633" s="830" t="s">
        <v>4794</v>
      </c>
      <c r="G633" s="830" t="s">
        <v>4794</v>
      </c>
      <c r="H633" s="830"/>
      <c r="I633" s="830"/>
      <c r="J633" s="831">
        <v>2</v>
      </c>
      <c r="K633" s="830" t="s">
        <v>4794</v>
      </c>
      <c r="L633" s="830" t="s">
        <v>4794</v>
      </c>
      <c r="M633" s="830" t="s">
        <v>4794</v>
      </c>
      <c r="N633" s="830" t="s">
        <v>4794</v>
      </c>
      <c r="O633" s="830" t="s">
        <v>4794</v>
      </c>
      <c r="P633" s="830" t="s">
        <v>4794</v>
      </c>
      <c r="Q633" s="832">
        <f t="shared" si="8"/>
        <v>2</v>
      </c>
      <c r="R633" s="833" t="s">
        <v>4025</v>
      </c>
      <c r="S633" s="836"/>
      <c r="T633" s="851"/>
      <c r="U633" s="851"/>
      <c r="V633" s="851"/>
      <c r="W633" s="851"/>
      <c r="X633" s="851"/>
      <c r="Y633" s="851"/>
      <c r="Z633" s="851"/>
      <c r="AA633" s="851"/>
      <c r="AB633" s="851"/>
      <c r="AC633" s="851"/>
      <c r="AD633" s="851"/>
      <c r="AE633" s="851"/>
      <c r="AF633" s="837"/>
    </row>
    <row r="634" spans="1:32" ht="42">
      <c r="A634" s="906">
        <v>606</v>
      </c>
      <c r="B634" s="907" t="s">
        <v>3956</v>
      </c>
      <c r="C634" s="828" t="s">
        <v>909</v>
      </c>
      <c r="D634" s="829" t="s">
        <v>910</v>
      </c>
      <c r="E634" s="830" t="s">
        <v>4794</v>
      </c>
      <c r="F634" s="830" t="s">
        <v>4794</v>
      </c>
      <c r="G634" s="830"/>
      <c r="H634" s="830" t="s">
        <v>4794</v>
      </c>
      <c r="I634" s="830" t="s">
        <v>4794</v>
      </c>
      <c r="J634" s="830" t="s">
        <v>4794</v>
      </c>
      <c r="K634" s="831">
        <v>1</v>
      </c>
      <c r="L634" s="830" t="s">
        <v>4794</v>
      </c>
      <c r="M634" s="830" t="s">
        <v>4794</v>
      </c>
      <c r="N634" s="830"/>
      <c r="O634" s="830" t="s">
        <v>4794</v>
      </c>
      <c r="P634" s="830" t="s">
        <v>4794</v>
      </c>
      <c r="Q634" s="832">
        <f t="shared" si="8"/>
        <v>1</v>
      </c>
      <c r="R634" s="833" t="s">
        <v>4025</v>
      </c>
      <c r="S634" s="836"/>
      <c r="T634" s="851"/>
      <c r="U634" s="851"/>
      <c r="V634" s="851"/>
      <c r="W634" s="851"/>
      <c r="X634" s="851"/>
      <c r="Y634" s="851"/>
      <c r="Z634" s="851"/>
      <c r="AA634" s="851"/>
      <c r="AB634" s="851"/>
      <c r="AC634" s="851"/>
      <c r="AD634" s="851"/>
      <c r="AE634" s="851"/>
      <c r="AF634" s="837"/>
    </row>
    <row r="635" spans="1:32" ht="73.5">
      <c r="A635" s="906">
        <v>607</v>
      </c>
      <c r="B635" s="907" t="s">
        <v>3956</v>
      </c>
      <c r="C635" s="828" t="s">
        <v>911</v>
      </c>
      <c r="D635" s="829" t="s">
        <v>912</v>
      </c>
      <c r="E635" s="830"/>
      <c r="F635" s="831">
        <v>1</v>
      </c>
      <c r="G635" s="830"/>
      <c r="H635" s="831">
        <v>1</v>
      </c>
      <c r="I635" s="830"/>
      <c r="J635" s="831">
        <v>1</v>
      </c>
      <c r="K635" s="830"/>
      <c r="L635" s="831">
        <v>1</v>
      </c>
      <c r="M635" s="830"/>
      <c r="N635" s="830"/>
      <c r="O635" s="830"/>
      <c r="P635" s="830"/>
      <c r="Q635" s="832">
        <f t="shared" si="8"/>
        <v>4</v>
      </c>
      <c r="R635" s="833" t="s">
        <v>4025</v>
      </c>
      <c r="S635" s="836"/>
      <c r="T635" s="892"/>
      <c r="U635" s="893"/>
      <c r="V635" s="893"/>
      <c r="W635" s="893"/>
      <c r="X635" s="893"/>
      <c r="Y635" s="893"/>
      <c r="Z635" s="893"/>
      <c r="AA635" s="893"/>
      <c r="AB635" s="893"/>
      <c r="AC635" s="893"/>
      <c r="AD635" s="893"/>
      <c r="AE635" s="893"/>
      <c r="AF635" s="837"/>
    </row>
    <row r="636" spans="1:32" ht="21">
      <c r="A636" s="906">
        <v>608</v>
      </c>
      <c r="B636" s="907" t="s">
        <v>3956</v>
      </c>
      <c r="C636" s="828" t="s">
        <v>913</v>
      </c>
      <c r="D636" s="829" t="s">
        <v>914</v>
      </c>
      <c r="E636" s="830"/>
      <c r="F636" s="830"/>
      <c r="G636" s="830"/>
      <c r="H636" s="831">
        <v>10</v>
      </c>
      <c r="I636" s="830"/>
      <c r="J636" s="831">
        <v>10</v>
      </c>
      <c r="K636" s="830"/>
      <c r="L636" s="830"/>
      <c r="M636" s="830"/>
      <c r="N636" s="830"/>
      <c r="O636" s="830"/>
      <c r="P636" s="830"/>
      <c r="Q636" s="832">
        <f t="shared" si="8"/>
        <v>20</v>
      </c>
      <c r="R636" s="833" t="s">
        <v>4025</v>
      </c>
      <c r="S636" s="836"/>
      <c r="T636" s="851"/>
      <c r="U636" s="851"/>
      <c r="V636" s="851"/>
      <c r="W636" s="851"/>
      <c r="X636" s="851"/>
      <c r="Y636" s="851"/>
      <c r="Z636" s="851"/>
      <c r="AA636" s="851"/>
      <c r="AB636" s="851"/>
      <c r="AC636" s="851"/>
      <c r="AD636" s="851"/>
      <c r="AE636" s="851"/>
      <c r="AF636" s="837"/>
    </row>
    <row r="637" spans="1:32" ht="63">
      <c r="A637" s="906">
        <v>609</v>
      </c>
      <c r="B637" s="907" t="s">
        <v>3956</v>
      </c>
      <c r="C637" s="828" t="s">
        <v>915</v>
      </c>
      <c r="D637" s="829" t="s">
        <v>916</v>
      </c>
      <c r="E637" s="830"/>
      <c r="F637" s="830"/>
      <c r="G637" s="830"/>
      <c r="H637" s="830"/>
      <c r="I637" s="831">
        <v>2</v>
      </c>
      <c r="J637" s="831">
        <v>2</v>
      </c>
      <c r="K637" s="831">
        <v>2</v>
      </c>
      <c r="L637" s="831">
        <v>2</v>
      </c>
      <c r="M637" s="830"/>
      <c r="N637" s="830"/>
      <c r="O637" s="830"/>
      <c r="P637" s="830"/>
      <c r="Q637" s="832">
        <f t="shared" si="8"/>
        <v>8</v>
      </c>
      <c r="R637" s="833" t="s">
        <v>4025</v>
      </c>
      <c r="S637" s="836"/>
      <c r="T637" s="851"/>
      <c r="U637" s="851"/>
      <c r="V637" s="851"/>
      <c r="W637" s="851"/>
      <c r="X637" s="851"/>
      <c r="Y637" s="851"/>
      <c r="Z637" s="851"/>
      <c r="AA637" s="851"/>
      <c r="AB637" s="851"/>
      <c r="AC637" s="851"/>
      <c r="AD637" s="851"/>
      <c r="AE637" s="851"/>
      <c r="AF637" s="837"/>
    </row>
    <row r="638" spans="1:32" ht="52.5">
      <c r="A638" s="906">
        <v>610</v>
      </c>
      <c r="B638" s="907" t="s">
        <v>3956</v>
      </c>
      <c r="C638" s="828" t="s">
        <v>917</v>
      </c>
      <c r="D638" s="829" t="s">
        <v>918</v>
      </c>
      <c r="E638" s="831">
        <v>4</v>
      </c>
      <c r="F638" s="831">
        <v>4</v>
      </c>
      <c r="G638" s="831">
        <v>4</v>
      </c>
      <c r="H638" s="830"/>
      <c r="I638" s="830"/>
      <c r="J638" s="831">
        <v>4</v>
      </c>
      <c r="K638" s="831">
        <v>4</v>
      </c>
      <c r="L638" s="830"/>
      <c r="M638" s="830"/>
      <c r="N638" s="830"/>
      <c r="O638" s="831">
        <v>4</v>
      </c>
      <c r="P638" s="831">
        <v>4</v>
      </c>
      <c r="Q638" s="832">
        <f t="shared" si="8"/>
        <v>28</v>
      </c>
      <c r="R638" s="833" t="s">
        <v>4025</v>
      </c>
      <c r="S638" s="836"/>
      <c r="T638" s="851"/>
      <c r="U638" s="851"/>
      <c r="V638" s="851"/>
      <c r="W638" s="851"/>
      <c r="X638" s="851"/>
      <c r="Y638" s="851"/>
      <c r="Z638" s="851"/>
      <c r="AA638" s="851"/>
      <c r="AB638" s="851"/>
      <c r="AC638" s="851"/>
      <c r="AD638" s="851"/>
      <c r="AE638" s="851"/>
      <c r="AF638" s="837"/>
    </row>
    <row r="639" spans="1:32" ht="31.5">
      <c r="A639" s="906">
        <v>611</v>
      </c>
      <c r="B639" s="907" t="s">
        <v>3956</v>
      </c>
      <c r="C639" s="828" t="s">
        <v>919</v>
      </c>
      <c r="D639" s="829" t="s">
        <v>920</v>
      </c>
      <c r="E639" s="831">
        <v>32</v>
      </c>
      <c r="F639" s="831">
        <v>32</v>
      </c>
      <c r="G639" s="831">
        <v>32</v>
      </c>
      <c r="H639" s="831">
        <v>32</v>
      </c>
      <c r="I639" s="831">
        <v>32</v>
      </c>
      <c r="J639" s="831">
        <v>32</v>
      </c>
      <c r="K639" s="831">
        <v>32</v>
      </c>
      <c r="L639" s="831">
        <v>32</v>
      </c>
      <c r="M639" s="831">
        <v>32</v>
      </c>
      <c r="N639" s="831">
        <v>32</v>
      </c>
      <c r="O639" s="831">
        <v>32</v>
      </c>
      <c r="P639" s="831">
        <v>32</v>
      </c>
      <c r="Q639" s="832">
        <f t="shared" si="8"/>
        <v>384</v>
      </c>
      <c r="R639" s="833" t="s">
        <v>4025</v>
      </c>
      <c r="S639" s="836"/>
      <c r="T639" s="851"/>
      <c r="U639" s="851"/>
      <c r="V639" s="851"/>
      <c r="W639" s="851"/>
      <c r="X639" s="851"/>
      <c r="Y639" s="851"/>
      <c r="Z639" s="851"/>
      <c r="AA639" s="851"/>
      <c r="AB639" s="851"/>
      <c r="AC639" s="851"/>
      <c r="AD639" s="851"/>
      <c r="AE639" s="851"/>
      <c r="AF639" s="837"/>
    </row>
    <row r="640" spans="1:32" ht="42">
      <c r="A640" s="906">
        <v>612</v>
      </c>
      <c r="B640" s="907" t="s">
        <v>3956</v>
      </c>
      <c r="C640" s="828" t="s">
        <v>921</v>
      </c>
      <c r="D640" s="829" t="s">
        <v>922</v>
      </c>
      <c r="E640" s="830" t="s">
        <v>4794</v>
      </c>
      <c r="F640" s="830" t="s">
        <v>4794</v>
      </c>
      <c r="G640" s="830"/>
      <c r="H640" s="830" t="s">
        <v>4794</v>
      </c>
      <c r="I640" s="830" t="s">
        <v>4794</v>
      </c>
      <c r="J640" s="830" t="s">
        <v>4794</v>
      </c>
      <c r="K640" s="831">
        <v>1</v>
      </c>
      <c r="L640" s="830" t="s">
        <v>4794</v>
      </c>
      <c r="M640" s="830" t="s">
        <v>4794</v>
      </c>
      <c r="N640" s="830"/>
      <c r="O640" s="830" t="s">
        <v>4794</v>
      </c>
      <c r="P640" s="831">
        <v>1</v>
      </c>
      <c r="Q640" s="832">
        <f t="shared" si="8"/>
        <v>2</v>
      </c>
      <c r="R640" s="833" t="s">
        <v>4025</v>
      </c>
      <c r="S640" s="836"/>
      <c r="T640" s="851"/>
      <c r="U640" s="851"/>
      <c r="V640" s="851"/>
      <c r="W640" s="851"/>
      <c r="X640" s="851"/>
      <c r="Y640" s="851"/>
      <c r="Z640" s="851"/>
      <c r="AA640" s="851"/>
      <c r="AB640" s="851"/>
      <c r="AC640" s="851"/>
      <c r="AD640" s="851"/>
      <c r="AE640" s="851"/>
      <c r="AF640" s="837"/>
    </row>
    <row r="641" spans="1:32" ht="63.75" thickBot="1">
      <c r="A641" s="906">
        <v>613</v>
      </c>
      <c r="B641" s="908" t="s">
        <v>3956</v>
      </c>
      <c r="C641" s="839" t="s">
        <v>923</v>
      </c>
      <c r="D641" s="840" t="s">
        <v>924</v>
      </c>
      <c r="E641" s="842">
        <v>1</v>
      </c>
      <c r="F641" s="842">
        <v>1</v>
      </c>
      <c r="G641" s="842">
        <v>1</v>
      </c>
      <c r="H641" s="842">
        <v>1</v>
      </c>
      <c r="I641" s="842">
        <v>1</v>
      </c>
      <c r="J641" s="842">
        <v>1</v>
      </c>
      <c r="K641" s="842">
        <v>1</v>
      </c>
      <c r="L641" s="842">
        <v>1</v>
      </c>
      <c r="M641" s="842">
        <v>1</v>
      </c>
      <c r="N641" s="842">
        <v>1</v>
      </c>
      <c r="O641" s="841" t="s">
        <v>4794</v>
      </c>
      <c r="P641" s="841" t="s">
        <v>4794</v>
      </c>
      <c r="Q641" s="843">
        <f t="shared" si="8"/>
        <v>10</v>
      </c>
      <c r="R641" s="844" t="s">
        <v>4025</v>
      </c>
      <c r="S641" s="836"/>
      <c r="T641" s="851"/>
      <c r="U641" s="851"/>
      <c r="V641" s="851"/>
      <c r="W641" s="851"/>
      <c r="X641" s="851"/>
      <c r="Y641" s="851"/>
      <c r="Z641" s="851"/>
      <c r="AA641" s="851"/>
      <c r="AB641" s="851"/>
      <c r="AC641" s="851"/>
      <c r="AD641" s="851"/>
      <c r="AE641" s="851"/>
      <c r="AF641" s="837"/>
    </row>
    <row r="642" spans="1:32" ht="31.5">
      <c r="A642" s="906">
        <v>614</v>
      </c>
      <c r="B642" s="886" t="s">
        <v>3956</v>
      </c>
      <c r="C642" s="886"/>
      <c r="D642" s="887" t="s">
        <v>925</v>
      </c>
      <c r="E642" s="888"/>
      <c r="F642" s="889">
        <v>38</v>
      </c>
      <c r="G642" s="888" t="s">
        <v>4794</v>
      </c>
      <c r="H642" s="888" t="s">
        <v>4794</v>
      </c>
      <c r="I642" s="888" t="s">
        <v>4794</v>
      </c>
      <c r="J642" s="888" t="s">
        <v>4794</v>
      </c>
      <c r="K642" s="888" t="s">
        <v>4794</v>
      </c>
      <c r="L642" s="888" t="s">
        <v>4794</v>
      </c>
      <c r="M642" s="888" t="s">
        <v>4794</v>
      </c>
      <c r="N642" s="888" t="s">
        <v>4794</v>
      </c>
      <c r="O642" s="888" t="s">
        <v>4794</v>
      </c>
      <c r="P642" s="888" t="s">
        <v>4794</v>
      </c>
      <c r="Q642" s="890">
        <f t="shared" si="8"/>
        <v>38</v>
      </c>
      <c r="R642" s="909" t="s">
        <v>3367</v>
      </c>
      <c r="S642" s="836"/>
      <c r="T642" s="892"/>
      <c r="U642" s="893"/>
      <c r="V642" s="893"/>
      <c r="W642" s="893"/>
      <c r="X642" s="893"/>
      <c r="Y642" s="893"/>
      <c r="Z642" s="893"/>
      <c r="AA642" s="893"/>
      <c r="AB642" s="893"/>
      <c r="AC642" s="893"/>
      <c r="AD642" s="893"/>
      <c r="AE642" s="893"/>
      <c r="AF642" s="837"/>
    </row>
    <row r="643" spans="1:32" ht="52.5">
      <c r="A643" s="906">
        <v>615</v>
      </c>
      <c r="B643" s="828" t="s">
        <v>3956</v>
      </c>
      <c r="C643" s="828"/>
      <c r="D643" s="829" t="s">
        <v>926</v>
      </c>
      <c r="E643" s="830"/>
      <c r="F643" s="831">
        <v>38</v>
      </c>
      <c r="G643" s="830" t="s">
        <v>4794</v>
      </c>
      <c r="H643" s="830" t="s">
        <v>4794</v>
      </c>
      <c r="I643" s="830" t="s">
        <v>4794</v>
      </c>
      <c r="J643" s="830" t="s">
        <v>4794</v>
      </c>
      <c r="K643" s="830" t="s">
        <v>4794</v>
      </c>
      <c r="L643" s="830" t="s">
        <v>4794</v>
      </c>
      <c r="M643" s="830" t="s">
        <v>4794</v>
      </c>
      <c r="N643" s="830" t="s">
        <v>4794</v>
      </c>
      <c r="O643" s="830" t="s">
        <v>4794</v>
      </c>
      <c r="P643" s="830" t="s">
        <v>4794</v>
      </c>
      <c r="Q643" s="832">
        <f t="shared" si="8"/>
        <v>38</v>
      </c>
      <c r="R643" s="833" t="s">
        <v>4025</v>
      </c>
      <c r="S643" s="836"/>
      <c r="T643" s="851"/>
      <c r="U643" s="851"/>
      <c r="V643" s="851"/>
      <c r="W643" s="851"/>
      <c r="X643" s="851"/>
      <c r="Y643" s="851"/>
      <c r="Z643" s="851"/>
      <c r="AA643" s="851"/>
      <c r="AB643" s="851"/>
      <c r="AC643" s="851"/>
      <c r="AD643" s="851"/>
      <c r="AE643" s="851"/>
      <c r="AF643" s="837"/>
    </row>
    <row r="644" spans="1:32" ht="31.5">
      <c r="A644" s="906">
        <v>616</v>
      </c>
      <c r="B644" s="828" t="s">
        <v>3956</v>
      </c>
      <c r="C644" s="828" t="s">
        <v>927</v>
      </c>
      <c r="D644" s="829" t="s">
        <v>928</v>
      </c>
      <c r="E644" s="830"/>
      <c r="F644" s="831">
        <v>38</v>
      </c>
      <c r="G644" s="830" t="s">
        <v>4794</v>
      </c>
      <c r="H644" s="830" t="s">
        <v>4794</v>
      </c>
      <c r="I644" s="830" t="s">
        <v>4794</v>
      </c>
      <c r="J644" s="830" t="s">
        <v>4794</v>
      </c>
      <c r="K644" s="830" t="s">
        <v>4794</v>
      </c>
      <c r="L644" s="830" t="s">
        <v>4794</v>
      </c>
      <c r="M644" s="830" t="s">
        <v>4794</v>
      </c>
      <c r="N644" s="830" t="s">
        <v>4794</v>
      </c>
      <c r="O644" s="830" t="s">
        <v>4794</v>
      </c>
      <c r="P644" s="830" t="s">
        <v>4794</v>
      </c>
      <c r="Q644" s="832">
        <f t="shared" si="8"/>
        <v>38</v>
      </c>
      <c r="R644" s="833" t="s">
        <v>3367</v>
      </c>
      <c r="S644" s="836"/>
      <c r="T644" s="851"/>
      <c r="U644" s="851"/>
      <c r="V644" s="851"/>
      <c r="W644" s="851"/>
      <c r="X644" s="851"/>
      <c r="Y644" s="851"/>
      <c r="Z644" s="851"/>
      <c r="AA644" s="851"/>
      <c r="AB644" s="851"/>
      <c r="AC644" s="851"/>
      <c r="AD644" s="851"/>
      <c r="AE644" s="851"/>
      <c r="AF644" s="837"/>
    </row>
    <row r="645" spans="1:32" ht="31.5">
      <c r="A645" s="906">
        <v>617</v>
      </c>
      <c r="B645" s="886" t="s">
        <v>3956</v>
      </c>
      <c r="C645" s="886" t="s">
        <v>929</v>
      </c>
      <c r="D645" s="887" t="s">
        <v>930</v>
      </c>
      <c r="E645" s="888"/>
      <c r="F645" s="889">
        <v>76</v>
      </c>
      <c r="G645" s="888" t="s">
        <v>4794</v>
      </c>
      <c r="H645" s="888" t="s">
        <v>4794</v>
      </c>
      <c r="I645" s="888" t="s">
        <v>4794</v>
      </c>
      <c r="J645" s="888" t="s">
        <v>4794</v>
      </c>
      <c r="K645" s="888" t="s">
        <v>4794</v>
      </c>
      <c r="L645" s="888" t="s">
        <v>4794</v>
      </c>
      <c r="M645" s="888" t="s">
        <v>4794</v>
      </c>
      <c r="N645" s="888" t="s">
        <v>4794</v>
      </c>
      <c r="O645" s="888" t="s">
        <v>4794</v>
      </c>
      <c r="P645" s="888" t="s">
        <v>4794</v>
      </c>
      <c r="Q645" s="832">
        <f t="shared" si="8"/>
        <v>76</v>
      </c>
      <c r="R645" s="909" t="s">
        <v>3367</v>
      </c>
      <c r="S645" s="836"/>
      <c r="T645" s="851"/>
      <c r="U645" s="851"/>
      <c r="V645" s="851"/>
      <c r="W645" s="851"/>
      <c r="X645" s="851"/>
      <c r="Y645" s="851"/>
      <c r="Z645" s="851"/>
      <c r="AA645" s="851"/>
      <c r="AB645" s="851"/>
      <c r="AC645" s="851"/>
      <c r="AD645" s="851"/>
      <c r="AE645" s="851"/>
      <c r="AF645" s="837"/>
    </row>
    <row r="646" spans="1:32" ht="31.5">
      <c r="A646" s="906">
        <v>618</v>
      </c>
      <c r="B646" s="828" t="s">
        <v>3956</v>
      </c>
      <c r="C646" s="828" t="s">
        <v>931</v>
      </c>
      <c r="D646" s="829" t="s">
        <v>932</v>
      </c>
      <c r="E646" s="830"/>
      <c r="F646" s="831">
        <v>76</v>
      </c>
      <c r="G646" s="830" t="s">
        <v>4794</v>
      </c>
      <c r="H646" s="830" t="s">
        <v>4794</v>
      </c>
      <c r="I646" s="830"/>
      <c r="J646" s="830" t="s">
        <v>4794</v>
      </c>
      <c r="K646" s="830" t="s">
        <v>4794</v>
      </c>
      <c r="L646" s="830" t="s">
        <v>4794</v>
      </c>
      <c r="M646" s="830" t="s">
        <v>4794</v>
      </c>
      <c r="N646" s="830" t="s">
        <v>4794</v>
      </c>
      <c r="O646" s="830" t="s">
        <v>4794</v>
      </c>
      <c r="P646" s="830" t="s">
        <v>4794</v>
      </c>
      <c r="Q646" s="832">
        <f t="shared" si="8"/>
        <v>76</v>
      </c>
      <c r="R646" s="833" t="s">
        <v>3959</v>
      </c>
      <c r="S646" s="836"/>
      <c r="T646" s="851"/>
      <c r="U646" s="851"/>
      <c r="V646" s="851"/>
      <c r="W646" s="851"/>
      <c r="X646" s="851"/>
      <c r="Y646" s="851"/>
      <c r="Z646" s="851"/>
      <c r="AA646" s="851"/>
      <c r="AB646" s="851"/>
      <c r="AC646" s="851"/>
      <c r="AD646" s="851"/>
      <c r="AE646" s="851"/>
      <c r="AF646" s="837"/>
    </row>
    <row r="647" spans="1:32" ht="42">
      <c r="A647" s="906">
        <v>619</v>
      </c>
      <c r="B647" s="828" t="s">
        <v>3956</v>
      </c>
      <c r="C647" s="828" t="s">
        <v>933</v>
      </c>
      <c r="D647" s="829" t="s">
        <v>934</v>
      </c>
      <c r="E647" s="830"/>
      <c r="F647" s="831">
        <v>38</v>
      </c>
      <c r="G647" s="830"/>
      <c r="H647" s="830" t="s">
        <v>4794</v>
      </c>
      <c r="I647" s="830" t="s">
        <v>4794</v>
      </c>
      <c r="J647" s="830" t="s">
        <v>4794</v>
      </c>
      <c r="K647" s="830" t="s">
        <v>4794</v>
      </c>
      <c r="L647" s="830" t="s">
        <v>4794</v>
      </c>
      <c r="M647" s="830" t="s">
        <v>4794</v>
      </c>
      <c r="N647" s="830" t="s">
        <v>4794</v>
      </c>
      <c r="O647" s="830" t="s">
        <v>4794</v>
      </c>
      <c r="P647" s="830" t="s">
        <v>4794</v>
      </c>
      <c r="Q647" s="832">
        <f t="shared" si="8"/>
        <v>38</v>
      </c>
      <c r="R647" s="833" t="s">
        <v>4025</v>
      </c>
      <c r="S647" s="836"/>
      <c r="T647" s="851"/>
      <c r="U647" s="851"/>
      <c r="V647" s="851"/>
      <c r="W647" s="851"/>
      <c r="X647" s="851"/>
      <c r="Y647" s="851"/>
      <c r="Z647" s="851"/>
      <c r="AA647" s="851"/>
      <c r="AB647" s="851"/>
      <c r="AC647" s="851"/>
      <c r="AD647" s="851"/>
      <c r="AE647" s="851"/>
      <c r="AF647" s="837"/>
    </row>
    <row r="648" spans="1:32" ht="42">
      <c r="A648" s="906">
        <v>620</v>
      </c>
      <c r="B648" s="828" t="s">
        <v>3956</v>
      </c>
      <c r="C648" s="828" t="s">
        <v>935</v>
      </c>
      <c r="D648" s="829" t="s">
        <v>936</v>
      </c>
      <c r="E648" s="830"/>
      <c r="F648" s="831">
        <v>38</v>
      </c>
      <c r="G648" s="830"/>
      <c r="H648" s="830" t="s">
        <v>4794</v>
      </c>
      <c r="I648" s="830" t="s">
        <v>4794</v>
      </c>
      <c r="J648" s="830" t="s">
        <v>4794</v>
      </c>
      <c r="K648" s="830" t="s">
        <v>4794</v>
      </c>
      <c r="L648" s="830" t="s">
        <v>4794</v>
      </c>
      <c r="M648" s="830" t="s">
        <v>4794</v>
      </c>
      <c r="N648" s="830" t="s">
        <v>4794</v>
      </c>
      <c r="O648" s="830" t="s">
        <v>4794</v>
      </c>
      <c r="P648" s="830" t="s">
        <v>4794</v>
      </c>
      <c r="Q648" s="832">
        <f t="shared" si="8"/>
        <v>38</v>
      </c>
      <c r="R648" s="833" t="s">
        <v>4025</v>
      </c>
      <c r="S648" s="836"/>
      <c r="T648" s="872"/>
      <c r="U648" s="872"/>
      <c r="V648" s="872"/>
      <c r="W648" s="872"/>
      <c r="X648" s="872"/>
      <c r="Y648" s="872"/>
      <c r="Z648" s="872"/>
      <c r="AA648" s="872"/>
      <c r="AB648" s="872"/>
      <c r="AC648" s="872"/>
      <c r="AD648" s="872"/>
      <c r="AE648" s="872"/>
      <c r="AF648" s="837"/>
    </row>
    <row r="649" spans="1:32" ht="63">
      <c r="A649" s="906">
        <v>621</v>
      </c>
      <c r="B649" s="828" t="s">
        <v>3956</v>
      </c>
      <c r="C649" s="828" t="s">
        <v>937</v>
      </c>
      <c r="D649" s="829" t="s">
        <v>3997</v>
      </c>
      <c r="E649" s="830"/>
      <c r="F649" s="831">
        <v>38</v>
      </c>
      <c r="G649" s="830"/>
      <c r="H649" s="830" t="s">
        <v>4794</v>
      </c>
      <c r="I649" s="830" t="s">
        <v>4794</v>
      </c>
      <c r="J649" s="830"/>
      <c r="K649" s="830" t="s">
        <v>4794</v>
      </c>
      <c r="L649" s="830" t="s">
        <v>4794</v>
      </c>
      <c r="M649" s="830" t="s">
        <v>4794</v>
      </c>
      <c r="N649" s="830" t="s">
        <v>4794</v>
      </c>
      <c r="O649" s="830" t="s">
        <v>4794</v>
      </c>
      <c r="P649" s="830" t="s">
        <v>4794</v>
      </c>
      <c r="Q649" s="832">
        <f t="shared" si="8"/>
        <v>38</v>
      </c>
      <c r="R649" s="833" t="s">
        <v>3959</v>
      </c>
      <c r="S649" s="836"/>
      <c r="T649" s="851"/>
      <c r="U649" s="851"/>
      <c r="V649" s="851"/>
      <c r="W649" s="851"/>
      <c r="X649" s="851"/>
      <c r="Y649" s="851"/>
      <c r="Z649" s="851"/>
      <c r="AA649" s="851"/>
      <c r="AB649" s="851"/>
      <c r="AC649" s="851"/>
      <c r="AD649" s="851"/>
      <c r="AE649" s="851"/>
      <c r="AF649" s="837"/>
    </row>
    <row r="650" spans="1:32" ht="84">
      <c r="A650" s="906">
        <v>622</v>
      </c>
      <c r="B650" s="828" t="s">
        <v>3956</v>
      </c>
      <c r="C650" s="828" t="s">
        <v>2511</v>
      </c>
      <c r="D650" s="829" t="s">
        <v>2512</v>
      </c>
      <c r="E650" s="830"/>
      <c r="F650" s="831">
        <v>38</v>
      </c>
      <c r="G650" s="830"/>
      <c r="H650" s="830" t="s">
        <v>4794</v>
      </c>
      <c r="I650" s="830" t="s">
        <v>4794</v>
      </c>
      <c r="J650" s="830" t="s">
        <v>4794</v>
      </c>
      <c r="K650" s="830" t="s">
        <v>4794</v>
      </c>
      <c r="L650" s="830" t="s">
        <v>4794</v>
      </c>
      <c r="M650" s="830" t="s">
        <v>4794</v>
      </c>
      <c r="N650" s="830" t="s">
        <v>4794</v>
      </c>
      <c r="O650" s="830" t="s">
        <v>4794</v>
      </c>
      <c r="P650" s="830" t="s">
        <v>4794</v>
      </c>
      <c r="Q650" s="832">
        <f t="shared" si="8"/>
        <v>38</v>
      </c>
      <c r="R650" s="833" t="s">
        <v>3959</v>
      </c>
      <c r="S650" s="836"/>
      <c r="T650" s="851"/>
      <c r="U650" s="851"/>
      <c r="V650" s="851"/>
      <c r="W650" s="851"/>
      <c r="X650" s="851"/>
      <c r="Y650" s="851"/>
      <c r="Z650" s="851"/>
      <c r="AA650" s="851"/>
      <c r="AB650" s="851"/>
      <c r="AC650" s="851"/>
      <c r="AD650" s="851"/>
      <c r="AE650" s="851"/>
      <c r="AF650" s="837"/>
    </row>
    <row r="651" spans="1:32" ht="84">
      <c r="A651" s="906">
        <v>623</v>
      </c>
      <c r="B651" s="828" t="s">
        <v>3956</v>
      </c>
      <c r="C651" s="828" t="s">
        <v>2513</v>
      </c>
      <c r="D651" s="829" t="s">
        <v>271</v>
      </c>
      <c r="E651" s="830"/>
      <c r="F651" s="831">
        <v>38</v>
      </c>
      <c r="G651" s="830"/>
      <c r="H651" s="830" t="s">
        <v>4794</v>
      </c>
      <c r="I651" s="830" t="s">
        <v>4794</v>
      </c>
      <c r="J651" s="830" t="s">
        <v>4794</v>
      </c>
      <c r="K651" s="830" t="s">
        <v>4794</v>
      </c>
      <c r="L651" s="830" t="s">
        <v>4794</v>
      </c>
      <c r="M651" s="830" t="s">
        <v>4794</v>
      </c>
      <c r="N651" s="830" t="s">
        <v>4794</v>
      </c>
      <c r="O651" s="830" t="s">
        <v>4794</v>
      </c>
      <c r="P651" s="830" t="s">
        <v>4794</v>
      </c>
      <c r="Q651" s="832">
        <f t="shared" si="8"/>
        <v>38</v>
      </c>
      <c r="R651" s="833" t="s">
        <v>4025</v>
      </c>
      <c r="S651" s="836"/>
      <c r="T651" s="851"/>
      <c r="U651" s="851"/>
      <c r="V651" s="851"/>
      <c r="W651" s="851"/>
      <c r="X651" s="851"/>
      <c r="Y651" s="851"/>
      <c r="Z651" s="851"/>
      <c r="AA651" s="851"/>
      <c r="AB651" s="851"/>
      <c r="AC651" s="851"/>
      <c r="AD651" s="851"/>
      <c r="AE651" s="851"/>
      <c r="AF651" s="837"/>
    </row>
    <row r="652" spans="1:32" ht="84.75" thickBot="1">
      <c r="A652" s="910">
        <v>624</v>
      </c>
      <c r="B652" s="839" t="s">
        <v>3956</v>
      </c>
      <c r="C652" s="839" t="s">
        <v>272</v>
      </c>
      <c r="D652" s="840" t="s">
        <v>273</v>
      </c>
      <c r="E652" s="841"/>
      <c r="F652" s="842">
        <v>38</v>
      </c>
      <c r="G652" s="841" t="s">
        <v>4794</v>
      </c>
      <c r="H652" s="841" t="s">
        <v>4794</v>
      </c>
      <c r="I652" s="841" t="s">
        <v>4794</v>
      </c>
      <c r="J652" s="841" t="s">
        <v>4794</v>
      </c>
      <c r="K652" s="841" t="s">
        <v>4794</v>
      </c>
      <c r="L652" s="841" t="s">
        <v>4794</v>
      </c>
      <c r="M652" s="841" t="s">
        <v>4794</v>
      </c>
      <c r="N652" s="841" t="s">
        <v>4794</v>
      </c>
      <c r="O652" s="841" t="s">
        <v>4794</v>
      </c>
      <c r="P652" s="841" t="s">
        <v>4794</v>
      </c>
      <c r="Q652" s="843">
        <f t="shared" si="8"/>
        <v>38</v>
      </c>
      <c r="R652" s="844" t="s">
        <v>4025</v>
      </c>
      <c r="S652" s="836"/>
      <c r="T652" s="851"/>
      <c r="U652" s="851"/>
      <c r="V652" s="851"/>
      <c r="W652" s="851"/>
      <c r="X652" s="851"/>
      <c r="Y652" s="851"/>
      <c r="Z652" s="851"/>
      <c r="AA652" s="851"/>
      <c r="AB652" s="851"/>
      <c r="AC652" s="851"/>
      <c r="AD652" s="851"/>
      <c r="AE652" s="851"/>
      <c r="AF652" s="837"/>
    </row>
    <row r="653" spans="1:32" ht="21.75" thickBot="1">
      <c r="A653" s="903"/>
      <c r="B653" s="901"/>
      <c r="C653" s="901"/>
      <c r="D653" s="847" t="s">
        <v>4020</v>
      </c>
      <c r="E653" s="902"/>
      <c r="F653" s="902"/>
      <c r="G653" s="902"/>
      <c r="H653" s="902"/>
      <c r="I653" s="902"/>
      <c r="J653" s="902"/>
      <c r="K653" s="902"/>
      <c r="L653" s="902"/>
      <c r="M653" s="902"/>
      <c r="N653" s="902"/>
      <c r="O653" s="902"/>
      <c r="P653" s="902"/>
      <c r="Q653" s="849">
        <f t="shared" si="8"/>
        <v>0</v>
      </c>
      <c r="R653" s="903"/>
      <c r="S653" s="836"/>
      <c r="T653" s="892"/>
      <c r="U653" s="893"/>
      <c r="V653" s="893"/>
      <c r="W653" s="893"/>
      <c r="X653" s="893"/>
      <c r="Y653" s="893"/>
      <c r="Z653" s="893"/>
      <c r="AA653" s="893"/>
      <c r="AB653" s="893"/>
      <c r="AC653" s="893"/>
      <c r="AD653" s="893"/>
      <c r="AE653" s="893"/>
      <c r="AF653" s="837"/>
    </row>
    <row r="654" spans="1:32" ht="42">
      <c r="A654" s="818">
        <v>625</v>
      </c>
      <c r="B654" s="819" t="s">
        <v>274</v>
      </c>
      <c r="C654" s="819" t="s">
        <v>275</v>
      </c>
      <c r="D654" s="820" t="s">
        <v>276</v>
      </c>
      <c r="E654" s="822">
        <v>2</v>
      </c>
      <c r="F654" s="822">
        <v>2</v>
      </c>
      <c r="G654" s="822">
        <v>2</v>
      </c>
      <c r="H654" s="822">
        <v>2</v>
      </c>
      <c r="I654" s="822">
        <v>2</v>
      </c>
      <c r="J654" s="822">
        <v>2</v>
      </c>
      <c r="K654" s="822">
        <v>2</v>
      </c>
      <c r="L654" s="822">
        <v>2</v>
      </c>
      <c r="M654" s="822">
        <v>2</v>
      </c>
      <c r="N654" s="822">
        <v>2</v>
      </c>
      <c r="O654" s="822">
        <v>2</v>
      </c>
      <c r="P654" s="822">
        <v>2</v>
      </c>
      <c r="Q654" s="823">
        <f t="shared" si="8"/>
        <v>24</v>
      </c>
      <c r="R654" s="824" t="s">
        <v>4025</v>
      </c>
      <c r="S654" s="836"/>
      <c r="T654" s="893"/>
      <c r="U654" s="893"/>
      <c r="V654" s="893"/>
      <c r="W654" s="893"/>
      <c r="X654" s="893"/>
      <c r="Y654" s="893"/>
      <c r="Z654" s="893"/>
      <c r="AA654" s="893"/>
      <c r="AB654" s="893"/>
      <c r="AC654" s="893"/>
      <c r="AD654" s="893"/>
      <c r="AE654" s="893"/>
      <c r="AF654" s="837"/>
    </row>
    <row r="655" spans="1:32" ht="42">
      <c r="A655" s="827">
        <v>626</v>
      </c>
      <c r="B655" s="828" t="s">
        <v>274</v>
      </c>
      <c r="C655" s="828" t="s">
        <v>277</v>
      </c>
      <c r="D655" s="829" t="s">
        <v>278</v>
      </c>
      <c r="E655" s="831">
        <v>2</v>
      </c>
      <c r="F655" s="831">
        <v>2</v>
      </c>
      <c r="G655" s="831">
        <v>2</v>
      </c>
      <c r="H655" s="831">
        <v>2</v>
      </c>
      <c r="I655" s="831">
        <v>2</v>
      </c>
      <c r="J655" s="831">
        <v>2</v>
      </c>
      <c r="K655" s="831">
        <v>2</v>
      </c>
      <c r="L655" s="831">
        <v>2</v>
      </c>
      <c r="M655" s="831">
        <v>2</v>
      </c>
      <c r="N655" s="831">
        <v>2</v>
      </c>
      <c r="O655" s="831">
        <v>2</v>
      </c>
      <c r="P655" s="831">
        <v>2</v>
      </c>
      <c r="Q655" s="832">
        <f t="shared" si="8"/>
        <v>24</v>
      </c>
      <c r="R655" s="833" t="s">
        <v>4025</v>
      </c>
      <c r="S655" s="836"/>
      <c r="T655" s="893"/>
      <c r="U655" s="893"/>
      <c r="V655" s="893"/>
      <c r="W655" s="893"/>
      <c r="X655" s="893"/>
      <c r="Y655" s="893"/>
      <c r="Z655" s="893"/>
      <c r="AA655" s="893"/>
      <c r="AB655" s="893"/>
      <c r="AC655" s="893"/>
      <c r="AD655" s="893"/>
      <c r="AE655" s="893"/>
      <c r="AF655" s="837"/>
    </row>
    <row r="656" spans="1:32" ht="52.5">
      <c r="A656" s="827">
        <v>627</v>
      </c>
      <c r="B656" s="828" t="s">
        <v>274</v>
      </c>
      <c r="C656" s="828" t="s">
        <v>279</v>
      </c>
      <c r="D656" s="829" t="s">
        <v>280</v>
      </c>
      <c r="E656" s="830" t="s">
        <v>4794</v>
      </c>
      <c r="F656" s="830" t="s">
        <v>4794</v>
      </c>
      <c r="G656" s="830" t="s">
        <v>4794</v>
      </c>
      <c r="H656" s="831">
        <v>8</v>
      </c>
      <c r="I656" s="830" t="s">
        <v>4794</v>
      </c>
      <c r="J656" s="830" t="s">
        <v>4794</v>
      </c>
      <c r="K656" s="830" t="s">
        <v>4794</v>
      </c>
      <c r="L656" s="830" t="s">
        <v>4794</v>
      </c>
      <c r="M656" s="830" t="s">
        <v>4794</v>
      </c>
      <c r="N656" s="830" t="s">
        <v>4794</v>
      </c>
      <c r="O656" s="830" t="s">
        <v>4794</v>
      </c>
      <c r="P656" s="830" t="s">
        <v>4794</v>
      </c>
      <c r="Q656" s="832">
        <f t="shared" si="8"/>
        <v>8</v>
      </c>
      <c r="R656" s="833" t="s">
        <v>4025</v>
      </c>
      <c r="S656" s="836"/>
      <c r="T656" s="893"/>
      <c r="U656" s="893"/>
      <c r="V656" s="893"/>
      <c r="W656" s="893"/>
      <c r="X656" s="893"/>
      <c r="Y656" s="893"/>
      <c r="Z656" s="893"/>
      <c r="AA656" s="893"/>
      <c r="AB656" s="893"/>
      <c r="AC656" s="893"/>
      <c r="AD656" s="893"/>
      <c r="AE656" s="893"/>
      <c r="AF656" s="837"/>
    </row>
    <row r="657" spans="1:32" ht="52.5">
      <c r="A657" s="827">
        <v>628</v>
      </c>
      <c r="B657" s="828" t="s">
        <v>274</v>
      </c>
      <c r="C657" s="828" t="s">
        <v>281</v>
      </c>
      <c r="D657" s="829" t="s">
        <v>282</v>
      </c>
      <c r="E657" s="830" t="s">
        <v>4794</v>
      </c>
      <c r="F657" s="830" t="s">
        <v>4794</v>
      </c>
      <c r="G657" s="830" t="s">
        <v>4794</v>
      </c>
      <c r="H657" s="830" t="s">
        <v>4794</v>
      </c>
      <c r="I657" s="830"/>
      <c r="J657" s="831">
        <v>1</v>
      </c>
      <c r="K657" s="830" t="s">
        <v>4794</v>
      </c>
      <c r="L657" s="830" t="s">
        <v>4794</v>
      </c>
      <c r="M657" s="830" t="s">
        <v>4794</v>
      </c>
      <c r="N657" s="830" t="s">
        <v>4794</v>
      </c>
      <c r="O657" s="830" t="s">
        <v>4794</v>
      </c>
      <c r="P657" s="830" t="s">
        <v>4794</v>
      </c>
      <c r="Q657" s="832">
        <f t="shared" si="8"/>
        <v>1</v>
      </c>
      <c r="R657" s="833" t="s">
        <v>4025</v>
      </c>
      <c r="S657" s="836"/>
      <c r="T657" s="851"/>
      <c r="U657" s="851"/>
      <c r="V657" s="851"/>
      <c r="W657" s="851"/>
      <c r="X657" s="851"/>
      <c r="Y657" s="851"/>
      <c r="Z657" s="851"/>
      <c r="AA657" s="851"/>
      <c r="AB657" s="851"/>
      <c r="AC657" s="851"/>
      <c r="AD657" s="851"/>
      <c r="AE657" s="851"/>
      <c r="AF657" s="837"/>
    </row>
    <row r="658" spans="1:32" ht="42">
      <c r="A658" s="827">
        <v>629</v>
      </c>
      <c r="B658" s="828" t="s">
        <v>274</v>
      </c>
      <c r="C658" s="828" t="s">
        <v>283</v>
      </c>
      <c r="D658" s="829" t="s">
        <v>284</v>
      </c>
      <c r="E658" s="830" t="s">
        <v>4794</v>
      </c>
      <c r="F658" s="830" t="s">
        <v>4794</v>
      </c>
      <c r="G658" s="830" t="s">
        <v>4794</v>
      </c>
      <c r="H658" s="830" t="s">
        <v>4794</v>
      </c>
      <c r="I658" s="830" t="s">
        <v>4794</v>
      </c>
      <c r="J658" s="831">
        <v>1</v>
      </c>
      <c r="K658" s="830"/>
      <c r="L658" s="830"/>
      <c r="M658" s="830"/>
      <c r="N658" s="830" t="s">
        <v>4794</v>
      </c>
      <c r="O658" s="830" t="s">
        <v>4794</v>
      </c>
      <c r="P658" s="830" t="s">
        <v>4794</v>
      </c>
      <c r="Q658" s="832">
        <f t="shared" si="8"/>
        <v>1</v>
      </c>
      <c r="R658" s="833" t="s">
        <v>4025</v>
      </c>
      <c r="S658" s="836"/>
      <c r="T658" s="851"/>
      <c r="U658" s="851"/>
      <c r="V658" s="851"/>
      <c r="W658" s="851"/>
      <c r="X658" s="851"/>
      <c r="Y658" s="851"/>
      <c r="Z658" s="851"/>
      <c r="AA658" s="851"/>
      <c r="AB658" s="851"/>
      <c r="AC658" s="851"/>
      <c r="AD658" s="851"/>
      <c r="AE658" s="851"/>
      <c r="AF658" s="837"/>
    </row>
    <row r="659" spans="1:32" ht="42">
      <c r="A659" s="827">
        <v>630</v>
      </c>
      <c r="B659" s="828" t="s">
        <v>274</v>
      </c>
      <c r="C659" s="828" t="s">
        <v>285</v>
      </c>
      <c r="D659" s="829" t="s">
        <v>286</v>
      </c>
      <c r="E659" s="830" t="s">
        <v>4794</v>
      </c>
      <c r="F659" s="830" t="s">
        <v>4794</v>
      </c>
      <c r="G659" s="830" t="s">
        <v>4794</v>
      </c>
      <c r="H659" s="830" t="s">
        <v>4794</v>
      </c>
      <c r="I659" s="830"/>
      <c r="J659" s="831">
        <v>1</v>
      </c>
      <c r="K659" s="830"/>
      <c r="L659" s="830"/>
      <c r="M659" s="830" t="s">
        <v>4794</v>
      </c>
      <c r="N659" s="830" t="s">
        <v>4794</v>
      </c>
      <c r="O659" s="830" t="s">
        <v>4794</v>
      </c>
      <c r="P659" s="830" t="s">
        <v>4794</v>
      </c>
      <c r="Q659" s="832">
        <f t="shared" ref="Q659:Q722" si="9">SUM(E659:P659)</f>
        <v>1</v>
      </c>
      <c r="R659" s="833" t="s">
        <v>4025</v>
      </c>
      <c r="S659" s="836"/>
      <c r="T659" s="851"/>
      <c r="U659" s="851"/>
      <c r="V659" s="851"/>
      <c r="W659" s="851"/>
      <c r="X659" s="851"/>
      <c r="Y659" s="851"/>
      <c r="Z659" s="851"/>
      <c r="AA659" s="851"/>
      <c r="AB659" s="851"/>
      <c r="AC659" s="851"/>
      <c r="AD659" s="851"/>
      <c r="AE659" s="851"/>
      <c r="AF659" s="837"/>
    </row>
    <row r="660" spans="1:32" ht="42">
      <c r="A660" s="827">
        <v>631</v>
      </c>
      <c r="B660" s="828" t="s">
        <v>274</v>
      </c>
      <c r="C660" s="828" t="s">
        <v>287</v>
      </c>
      <c r="D660" s="829" t="s">
        <v>288</v>
      </c>
      <c r="E660" s="830" t="s">
        <v>4794</v>
      </c>
      <c r="F660" s="830" t="s">
        <v>4794</v>
      </c>
      <c r="G660" s="830" t="s">
        <v>4794</v>
      </c>
      <c r="H660" s="830" t="s">
        <v>4794</v>
      </c>
      <c r="I660" s="830"/>
      <c r="J660" s="830" t="s">
        <v>4794</v>
      </c>
      <c r="K660" s="831">
        <v>1</v>
      </c>
      <c r="L660" s="830" t="s">
        <v>4794</v>
      </c>
      <c r="M660" s="830" t="s">
        <v>4794</v>
      </c>
      <c r="N660" s="830" t="s">
        <v>4794</v>
      </c>
      <c r="O660" s="830" t="s">
        <v>4794</v>
      </c>
      <c r="P660" s="830" t="s">
        <v>4794</v>
      </c>
      <c r="Q660" s="832">
        <f t="shared" si="9"/>
        <v>1</v>
      </c>
      <c r="R660" s="833" t="s">
        <v>4025</v>
      </c>
      <c r="S660" s="836"/>
      <c r="T660" s="851"/>
      <c r="U660" s="851"/>
      <c r="V660" s="851"/>
      <c r="W660" s="851"/>
      <c r="X660" s="851"/>
      <c r="Y660" s="851"/>
      <c r="Z660" s="851"/>
      <c r="AA660" s="851"/>
      <c r="AB660" s="851"/>
      <c r="AC660" s="851"/>
      <c r="AD660" s="851"/>
      <c r="AE660" s="851"/>
      <c r="AF660" s="837"/>
    </row>
    <row r="661" spans="1:32" ht="52.5">
      <c r="A661" s="827">
        <v>632</v>
      </c>
      <c r="B661" s="828" t="s">
        <v>274</v>
      </c>
      <c r="C661" s="828" t="s">
        <v>289</v>
      </c>
      <c r="D661" s="829" t="s">
        <v>290</v>
      </c>
      <c r="E661" s="830" t="s">
        <v>4794</v>
      </c>
      <c r="F661" s="830"/>
      <c r="G661" s="830" t="s">
        <v>4794</v>
      </c>
      <c r="H661" s="830" t="s">
        <v>4794</v>
      </c>
      <c r="I661" s="830" t="s">
        <v>4794</v>
      </c>
      <c r="J661" s="831">
        <v>1</v>
      </c>
      <c r="K661" s="830" t="s">
        <v>4794</v>
      </c>
      <c r="L661" s="830" t="s">
        <v>4794</v>
      </c>
      <c r="M661" s="830" t="s">
        <v>4794</v>
      </c>
      <c r="N661" s="830" t="s">
        <v>4794</v>
      </c>
      <c r="O661" s="830" t="s">
        <v>4794</v>
      </c>
      <c r="P661" s="830" t="s">
        <v>4794</v>
      </c>
      <c r="Q661" s="832">
        <f t="shared" si="9"/>
        <v>1</v>
      </c>
      <c r="R661" s="833" t="s">
        <v>4025</v>
      </c>
      <c r="S661" s="836"/>
      <c r="T661" s="851"/>
      <c r="U661" s="851"/>
      <c r="V661" s="851"/>
      <c r="W661" s="851"/>
      <c r="X661" s="851"/>
      <c r="Y661" s="851"/>
      <c r="Z661" s="851"/>
      <c r="AA661" s="851"/>
      <c r="AB661" s="851"/>
      <c r="AC661" s="851"/>
      <c r="AD661" s="851"/>
      <c r="AE661" s="851"/>
      <c r="AF661" s="837"/>
    </row>
    <row r="662" spans="1:32" ht="21">
      <c r="A662" s="827">
        <v>633</v>
      </c>
      <c r="B662" s="828" t="s">
        <v>274</v>
      </c>
      <c r="C662" s="828" t="s">
        <v>291</v>
      </c>
      <c r="D662" s="829" t="s">
        <v>292</v>
      </c>
      <c r="E662" s="830" t="s">
        <v>4794</v>
      </c>
      <c r="F662" s="830" t="s">
        <v>4794</v>
      </c>
      <c r="G662" s="830" t="s">
        <v>4794</v>
      </c>
      <c r="H662" s="831">
        <v>12</v>
      </c>
      <c r="I662" s="830" t="s">
        <v>4794</v>
      </c>
      <c r="J662" s="830" t="s">
        <v>4794</v>
      </c>
      <c r="K662" s="830" t="s">
        <v>4794</v>
      </c>
      <c r="L662" s="830" t="s">
        <v>4794</v>
      </c>
      <c r="M662" s="830" t="s">
        <v>4794</v>
      </c>
      <c r="N662" s="830" t="s">
        <v>4794</v>
      </c>
      <c r="O662" s="830" t="s">
        <v>4794</v>
      </c>
      <c r="P662" s="830" t="s">
        <v>4794</v>
      </c>
      <c r="Q662" s="832">
        <f t="shared" si="9"/>
        <v>12</v>
      </c>
      <c r="R662" s="833" t="s">
        <v>4025</v>
      </c>
      <c r="S662" s="836"/>
      <c r="T662" s="851"/>
      <c r="U662" s="851"/>
      <c r="V662" s="851"/>
      <c r="W662" s="851"/>
      <c r="X662" s="851"/>
      <c r="Y662" s="851"/>
      <c r="Z662" s="851"/>
      <c r="AA662" s="851"/>
      <c r="AB662" s="851"/>
      <c r="AC662" s="851"/>
      <c r="AD662" s="851"/>
      <c r="AE662" s="851"/>
      <c r="AF662" s="837"/>
    </row>
    <row r="663" spans="1:32" ht="21">
      <c r="A663" s="827">
        <v>634</v>
      </c>
      <c r="B663" s="828" t="s">
        <v>274</v>
      </c>
      <c r="C663" s="828" t="s">
        <v>293</v>
      </c>
      <c r="D663" s="829" t="s">
        <v>294</v>
      </c>
      <c r="E663" s="830" t="s">
        <v>4794</v>
      </c>
      <c r="F663" s="830"/>
      <c r="G663" s="830" t="s">
        <v>4794</v>
      </c>
      <c r="H663" s="830" t="s">
        <v>4794</v>
      </c>
      <c r="I663" s="830" t="s">
        <v>4794</v>
      </c>
      <c r="J663" s="831">
        <v>10</v>
      </c>
      <c r="K663" s="830" t="s">
        <v>4794</v>
      </c>
      <c r="L663" s="830" t="s">
        <v>4794</v>
      </c>
      <c r="M663" s="831">
        <v>4</v>
      </c>
      <c r="N663" s="830" t="s">
        <v>4794</v>
      </c>
      <c r="O663" s="830" t="s">
        <v>4794</v>
      </c>
      <c r="P663" s="830" t="s">
        <v>4794</v>
      </c>
      <c r="Q663" s="832">
        <f t="shared" si="9"/>
        <v>14</v>
      </c>
      <c r="R663" s="833" t="s">
        <v>4025</v>
      </c>
      <c r="S663" s="836"/>
      <c r="T663" s="851"/>
      <c r="U663" s="851"/>
      <c r="V663" s="851"/>
      <c r="W663" s="851"/>
      <c r="X663" s="851"/>
      <c r="Y663" s="851"/>
      <c r="Z663" s="851"/>
      <c r="AA663" s="851"/>
      <c r="AB663" s="851"/>
      <c r="AC663" s="851"/>
      <c r="AD663" s="851"/>
      <c r="AE663" s="851"/>
      <c r="AF663" s="837"/>
    </row>
    <row r="664" spans="1:32" ht="21">
      <c r="A664" s="827">
        <v>635</v>
      </c>
      <c r="B664" s="828" t="s">
        <v>274</v>
      </c>
      <c r="C664" s="828" t="s">
        <v>295</v>
      </c>
      <c r="D664" s="829" t="s">
        <v>296</v>
      </c>
      <c r="E664" s="830" t="s">
        <v>4794</v>
      </c>
      <c r="F664" s="830" t="s">
        <v>4794</v>
      </c>
      <c r="G664" s="830"/>
      <c r="H664" s="830" t="s">
        <v>4794</v>
      </c>
      <c r="I664" s="830" t="s">
        <v>4794</v>
      </c>
      <c r="J664" s="831">
        <v>20</v>
      </c>
      <c r="K664" s="830" t="s">
        <v>4794</v>
      </c>
      <c r="L664" s="830" t="s">
        <v>4794</v>
      </c>
      <c r="M664" s="831">
        <v>8</v>
      </c>
      <c r="N664" s="830" t="s">
        <v>4794</v>
      </c>
      <c r="O664" s="830" t="s">
        <v>4794</v>
      </c>
      <c r="P664" s="830" t="s">
        <v>4794</v>
      </c>
      <c r="Q664" s="832">
        <f t="shared" si="9"/>
        <v>28</v>
      </c>
      <c r="R664" s="833" t="s">
        <v>4025</v>
      </c>
      <c r="S664" s="836"/>
      <c r="T664" s="851"/>
      <c r="U664" s="851"/>
      <c r="V664" s="851"/>
      <c r="W664" s="851"/>
      <c r="X664" s="851"/>
      <c r="Y664" s="851"/>
      <c r="Z664" s="851"/>
      <c r="AA664" s="851"/>
      <c r="AB664" s="851"/>
      <c r="AC664" s="851"/>
      <c r="AD664" s="851"/>
      <c r="AE664" s="851"/>
      <c r="AF664" s="837"/>
    </row>
    <row r="665" spans="1:32" ht="21">
      <c r="A665" s="827">
        <v>636</v>
      </c>
      <c r="B665" s="828" t="s">
        <v>274</v>
      </c>
      <c r="C665" s="828" t="s">
        <v>297</v>
      </c>
      <c r="D665" s="829" t="s">
        <v>298</v>
      </c>
      <c r="E665" s="830" t="s">
        <v>4794</v>
      </c>
      <c r="F665" s="830" t="s">
        <v>4794</v>
      </c>
      <c r="G665" s="830" t="s">
        <v>4794</v>
      </c>
      <c r="H665" s="831">
        <v>10</v>
      </c>
      <c r="I665" s="830" t="s">
        <v>4794</v>
      </c>
      <c r="J665" s="831">
        <v>10</v>
      </c>
      <c r="K665" s="830" t="s">
        <v>4794</v>
      </c>
      <c r="L665" s="830" t="s">
        <v>4794</v>
      </c>
      <c r="M665" s="830" t="s">
        <v>4794</v>
      </c>
      <c r="N665" s="830" t="s">
        <v>4794</v>
      </c>
      <c r="O665" s="830" t="s">
        <v>4794</v>
      </c>
      <c r="P665" s="830" t="s">
        <v>4794</v>
      </c>
      <c r="Q665" s="832">
        <f t="shared" si="9"/>
        <v>20</v>
      </c>
      <c r="R665" s="833" t="s">
        <v>4025</v>
      </c>
      <c r="S665" s="836"/>
      <c r="T665" s="851"/>
      <c r="U665" s="851"/>
      <c r="V665" s="851"/>
      <c r="W665" s="851"/>
      <c r="X665" s="851"/>
      <c r="Y665" s="851"/>
      <c r="Z665" s="851"/>
      <c r="AA665" s="851"/>
      <c r="AB665" s="851"/>
      <c r="AC665" s="851"/>
      <c r="AD665" s="851"/>
      <c r="AE665" s="851"/>
      <c r="AF665" s="837"/>
    </row>
    <row r="666" spans="1:32" ht="21">
      <c r="A666" s="827">
        <v>637</v>
      </c>
      <c r="B666" s="828" t="s">
        <v>274</v>
      </c>
      <c r="C666" s="828" t="s">
        <v>299</v>
      </c>
      <c r="D666" s="829" t="s">
        <v>300</v>
      </c>
      <c r="E666" s="830" t="s">
        <v>4794</v>
      </c>
      <c r="F666" s="830" t="s">
        <v>4794</v>
      </c>
      <c r="G666" s="830"/>
      <c r="H666" s="830" t="s">
        <v>4794</v>
      </c>
      <c r="I666" s="830" t="s">
        <v>4794</v>
      </c>
      <c r="J666" s="831">
        <v>20</v>
      </c>
      <c r="K666" s="830" t="s">
        <v>4794</v>
      </c>
      <c r="L666" s="830" t="s">
        <v>4794</v>
      </c>
      <c r="M666" s="831">
        <v>8</v>
      </c>
      <c r="N666" s="830" t="s">
        <v>4794</v>
      </c>
      <c r="O666" s="830" t="s">
        <v>4794</v>
      </c>
      <c r="P666" s="830" t="s">
        <v>4794</v>
      </c>
      <c r="Q666" s="832">
        <f t="shared" si="9"/>
        <v>28</v>
      </c>
      <c r="R666" s="833" t="s">
        <v>4025</v>
      </c>
      <c r="S666" s="836"/>
      <c r="T666" s="851"/>
      <c r="U666" s="851"/>
      <c r="V666" s="851"/>
      <c r="W666" s="851"/>
      <c r="X666" s="851"/>
      <c r="Y666" s="851"/>
      <c r="Z666" s="851"/>
      <c r="AA666" s="851"/>
      <c r="AB666" s="851"/>
      <c r="AC666" s="851"/>
      <c r="AD666" s="851"/>
      <c r="AE666" s="851"/>
      <c r="AF666" s="837"/>
    </row>
    <row r="667" spans="1:32" ht="21">
      <c r="A667" s="827">
        <v>638</v>
      </c>
      <c r="B667" s="828" t="s">
        <v>274</v>
      </c>
      <c r="C667" s="828" t="s">
        <v>301</v>
      </c>
      <c r="D667" s="829" t="s">
        <v>302</v>
      </c>
      <c r="E667" s="830" t="s">
        <v>4794</v>
      </c>
      <c r="F667" s="830" t="s">
        <v>4794</v>
      </c>
      <c r="G667" s="830" t="s">
        <v>4794</v>
      </c>
      <c r="H667" s="830" t="s">
        <v>4794</v>
      </c>
      <c r="I667" s="831">
        <v>10</v>
      </c>
      <c r="J667" s="830" t="s">
        <v>4794</v>
      </c>
      <c r="K667" s="831">
        <v>10</v>
      </c>
      <c r="L667" s="830" t="s">
        <v>4794</v>
      </c>
      <c r="M667" s="830" t="s">
        <v>4794</v>
      </c>
      <c r="N667" s="830" t="s">
        <v>4794</v>
      </c>
      <c r="O667" s="830" t="s">
        <v>4794</v>
      </c>
      <c r="P667" s="830" t="s">
        <v>4794</v>
      </c>
      <c r="Q667" s="832">
        <f t="shared" si="9"/>
        <v>20</v>
      </c>
      <c r="R667" s="833" t="s">
        <v>4025</v>
      </c>
      <c r="S667" s="836"/>
      <c r="T667" s="851"/>
      <c r="U667" s="851"/>
      <c r="V667" s="851"/>
      <c r="W667" s="851"/>
      <c r="X667" s="851"/>
      <c r="Y667" s="851"/>
      <c r="Z667" s="851"/>
      <c r="AA667" s="851"/>
      <c r="AB667" s="851"/>
      <c r="AC667" s="851"/>
      <c r="AD667" s="851"/>
      <c r="AE667" s="851"/>
      <c r="AF667" s="837"/>
    </row>
    <row r="668" spans="1:32" ht="21">
      <c r="A668" s="827">
        <v>639</v>
      </c>
      <c r="B668" s="828" t="s">
        <v>274</v>
      </c>
      <c r="C668" s="828" t="s">
        <v>303</v>
      </c>
      <c r="D668" s="829" t="s">
        <v>304</v>
      </c>
      <c r="E668" s="830" t="s">
        <v>4794</v>
      </c>
      <c r="F668" s="831">
        <v>12</v>
      </c>
      <c r="G668" s="830"/>
      <c r="H668" s="830" t="s">
        <v>4794</v>
      </c>
      <c r="I668" s="831">
        <v>5</v>
      </c>
      <c r="J668" s="830" t="s">
        <v>4794</v>
      </c>
      <c r="K668" s="830" t="s">
        <v>4794</v>
      </c>
      <c r="L668" s="830" t="s">
        <v>4794</v>
      </c>
      <c r="M668" s="830" t="s">
        <v>4794</v>
      </c>
      <c r="N668" s="830" t="s">
        <v>4794</v>
      </c>
      <c r="O668" s="830" t="s">
        <v>4794</v>
      </c>
      <c r="P668" s="830" t="s">
        <v>4794</v>
      </c>
      <c r="Q668" s="832">
        <f t="shared" si="9"/>
        <v>17</v>
      </c>
      <c r="R668" s="833" t="s">
        <v>4025</v>
      </c>
      <c r="S668" s="836"/>
      <c r="T668" s="851"/>
      <c r="U668" s="851"/>
      <c r="V668" s="851"/>
      <c r="W668" s="851"/>
      <c r="X668" s="851"/>
      <c r="Y668" s="851"/>
      <c r="Z668" s="851"/>
      <c r="AA668" s="851"/>
      <c r="AB668" s="851"/>
      <c r="AC668" s="851"/>
      <c r="AD668" s="851"/>
      <c r="AE668" s="851"/>
      <c r="AF668" s="837"/>
    </row>
    <row r="669" spans="1:32" ht="21">
      <c r="A669" s="827">
        <v>640</v>
      </c>
      <c r="B669" s="828" t="s">
        <v>274</v>
      </c>
      <c r="C669" s="828" t="s">
        <v>305</v>
      </c>
      <c r="D669" s="829" t="s">
        <v>306</v>
      </c>
      <c r="E669" s="830" t="s">
        <v>4794</v>
      </c>
      <c r="F669" s="830" t="s">
        <v>4794</v>
      </c>
      <c r="G669" s="830"/>
      <c r="H669" s="830" t="s">
        <v>4794</v>
      </c>
      <c r="I669" s="830" t="s">
        <v>4794</v>
      </c>
      <c r="J669" s="831">
        <v>20</v>
      </c>
      <c r="K669" s="830" t="s">
        <v>4794</v>
      </c>
      <c r="L669" s="830" t="s">
        <v>4794</v>
      </c>
      <c r="M669" s="831">
        <v>8</v>
      </c>
      <c r="N669" s="830" t="s">
        <v>4794</v>
      </c>
      <c r="O669" s="830" t="s">
        <v>4794</v>
      </c>
      <c r="P669" s="830" t="s">
        <v>4794</v>
      </c>
      <c r="Q669" s="832">
        <f t="shared" si="9"/>
        <v>28</v>
      </c>
      <c r="R669" s="833" t="s">
        <v>4025</v>
      </c>
      <c r="S669" s="836"/>
      <c r="T669" s="851"/>
      <c r="U669" s="851"/>
      <c r="V669" s="851"/>
      <c r="W669" s="851"/>
      <c r="X669" s="851"/>
      <c r="Y669" s="851"/>
      <c r="Z669" s="851"/>
      <c r="AA669" s="851"/>
      <c r="AB669" s="851"/>
      <c r="AC669" s="851"/>
      <c r="AD669" s="851"/>
      <c r="AE669" s="851"/>
      <c r="AF669" s="837"/>
    </row>
    <row r="670" spans="1:32" ht="21">
      <c r="A670" s="827">
        <v>641</v>
      </c>
      <c r="B670" s="828" t="s">
        <v>274</v>
      </c>
      <c r="C670" s="828" t="s">
        <v>307</v>
      </c>
      <c r="D670" s="829" t="s">
        <v>308</v>
      </c>
      <c r="E670" s="830" t="s">
        <v>4794</v>
      </c>
      <c r="F670" s="830" t="s">
        <v>4794</v>
      </c>
      <c r="G670" s="830" t="s">
        <v>4794</v>
      </c>
      <c r="H670" s="830" t="s">
        <v>4794</v>
      </c>
      <c r="I670" s="831">
        <v>10</v>
      </c>
      <c r="J670" s="830" t="s">
        <v>4794</v>
      </c>
      <c r="K670" s="830" t="s">
        <v>4794</v>
      </c>
      <c r="L670" s="830" t="s">
        <v>4794</v>
      </c>
      <c r="M670" s="830" t="s">
        <v>4794</v>
      </c>
      <c r="N670" s="830" t="s">
        <v>4794</v>
      </c>
      <c r="O670" s="830" t="s">
        <v>4794</v>
      </c>
      <c r="P670" s="830" t="s">
        <v>4794</v>
      </c>
      <c r="Q670" s="832">
        <f t="shared" si="9"/>
        <v>10</v>
      </c>
      <c r="R670" s="833" t="s">
        <v>4025</v>
      </c>
      <c r="S670" s="836"/>
      <c r="T670" s="851"/>
      <c r="U670" s="851"/>
      <c r="V670" s="851"/>
      <c r="W670" s="851"/>
      <c r="X670" s="851"/>
      <c r="Y670" s="851"/>
      <c r="Z670" s="851"/>
      <c r="AA670" s="851"/>
      <c r="AB670" s="851"/>
      <c r="AC670" s="851"/>
      <c r="AD670" s="851"/>
      <c r="AE670" s="851"/>
      <c r="AF670" s="837"/>
    </row>
    <row r="671" spans="1:32" ht="21">
      <c r="A671" s="827">
        <v>642</v>
      </c>
      <c r="B671" s="828" t="s">
        <v>274</v>
      </c>
      <c r="C671" s="828" t="s">
        <v>309</v>
      </c>
      <c r="D671" s="829" t="s">
        <v>1495</v>
      </c>
      <c r="E671" s="830" t="s">
        <v>4794</v>
      </c>
      <c r="F671" s="830" t="s">
        <v>4794</v>
      </c>
      <c r="G671" s="830"/>
      <c r="H671" s="830" t="s">
        <v>4794</v>
      </c>
      <c r="I671" s="830" t="s">
        <v>4794</v>
      </c>
      <c r="J671" s="831">
        <v>20</v>
      </c>
      <c r="K671" s="830" t="s">
        <v>4794</v>
      </c>
      <c r="L671" s="830" t="s">
        <v>4794</v>
      </c>
      <c r="M671" s="831">
        <v>8</v>
      </c>
      <c r="N671" s="830" t="s">
        <v>4794</v>
      </c>
      <c r="O671" s="830" t="s">
        <v>4794</v>
      </c>
      <c r="P671" s="830" t="s">
        <v>4794</v>
      </c>
      <c r="Q671" s="832">
        <f t="shared" si="9"/>
        <v>28</v>
      </c>
      <c r="R671" s="833" t="s">
        <v>4025</v>
      </c>
      <c r="S671" s="836"/>
      <c r="T671" s="851"/>
      <c r="U671" s="851"/>
      <c r="V671" s="851"/>
      <c r="W671" s="851"/>
      <c r="X671" s="851"/>
      <c r="Y671" s="851"/>
      <c r="Z671" s="851"/>
      <c r="AA671" s="851"/>
      <c r="AB671" s="851"/>
      <c r="AC671" s="851"/>
      <c r="AD671" s="851"/>
      <c r="AE671" s="851"/>
      <c r="AF671" s="837"/>
    </row>
    <row r="672" spans="1:32" ht="21">
      <c r="A672" s="827">
        <v>643</v>
      </c>
      <c r="B672" s="828" t="s">
        <v>274</v>
      </c>
      <c r="C672" s="828" t="s">
        <v>1496</v>
      </c>
      <c r="D672" s="829" t="s">
        <v>1497</v>
      </c>
      <c r="E672" s="830" t="s">
        <v>4794</v>
      </c>
      <c r="F672" s="830" t="s">
        <v>4794</v>
      </c>
      <c r="G672" s="830" t="s">
        <v>4794</v>
      </c>
      <c r="H672" s="830" t="s">
        <v>4794</v>
      </c>
      <c r="I672" s="831">
        <v>10</v>
      </c>
      <c r="J672" s="830" t="s">
        <v>4794</v>
      </c>
      <c r="K672" s="830" t="s">
        <v>4794</v>
      </c>
      <c r="L672" s="830" t="s">
        <v>4794</v>
      </c>
      <c r="M672" s="830" t="s">
        <v>4794</v>
      </c>
      <c r="N672" s="830" t="s">
        <v>4794</v>
      </c>
      <c r="O672" s="830" t="s">
        <v>4794</v>
      </c>
      <c r="P672" s="830" t="s">
        <v>4794</v>
      </c>
      <c r="Q672" s="832">
        <f t="shared" si="9"/>
        <v>10</v>
      </c>
      <c r="R672" s="833" t="s">
        <v>4025</v>
      </c>
      <c r="S672" s="836"/>
      <c r="T672" s="851"/>
      <c r="U672" s="851"/>
      <c r="V672" s="851"/>
      <c r="W672" s="851"/>
      <c r="X672" s="851"/>
      <c r="Y672" s="851"/>
      <c r="Z672" s="851"/>
      <c r="AA672" s="851"/>
      <c r="AB672" s="851"/>
      <c r="AC672" s="851"/>
      <c r="AD672" s="851"/>
      <c r="AE672" s="851"/>
      <c r="AF672" s="837"/>
    </row>
    <row r="673" spans="1:32" ht="21">
      <c r="A673" s="827">
        <v>644</v>
      </c>
      <c r="B673" s="828" t="s">
        <v>274</v>
      </c>
      <c r="C673" s="828" t="s">
        <v>1498</v>
      </c>
      <c r="D673" s="829" t="s">
        <v>1499</v>
      </c>
      <c r="E673" s="830" t="s">
        <v>4794</v>
      </c>
      <c r="F673" s="830" t="s">
        <v>4794</v>
      </c>
      <c r="G673" s="830" t="s">
        <v>4794</v>
      </c>
      <c r="H673" s="830" t="s">
        <v>4794</v>
      </c>
      <c r="I673" s="831">
        <v>10</v>
      </c>
      <c r="J673" s="830" t="s">
        <v>4794</v>
      </c>
      <c r="K673" s="830" t="s">
        <v>4794</v>
      </c>
      <c r="L673" s="830" t="s">
        <v>4794</v>
      </c>
      <c r="M673" s="830" t="s">
        <v>4794</v>
      </c>
      <c r="N673" s="830" t="s">
        <v>4794</v>
      </c>
      <c r="O673" s="830" t="s">
        <v>4794</v>
      </c>
      <c r="P673" s="830" t="s">
        <v>4794</v>
      </c>
      <c r="Q673" s="832">
        <f t="shared" si="9"/>
        <v>10</v>
      </c>
      <c r="R673" s="833" t="s">
        <v>4025</v>
      </c>
      <c r="S673" s="836"/>
      <c r="T673" s="851"/>
      <c r="U673" s="851"/>
      <c r="V673" s="851"/>
      <c r="W673" s="851"/>
      <c r="X673" s="851"/>
      <c r="Y673" s="851"/>
      <c r="Z673" s="851"/>
      <c r="AA673" s="851"/>
      <c r="AB673" s="851"/>
      <c r="AC673" s="851"/>
      <c r="AD673" s="851"/>
      <c r="AE673" s="851"/>
      <c r="AF673" s="837"/>
    </row>
    <row r="674" spans="1:32" ht="21">
      <c r="A674" s="827">
        <v>645</v>
      </c>
      <c r="B674" s="828" t="s">
        <v>274</v>
      </c>
      <c r="C674" s="828" t="s">
        <v>1500</v>
      </c>
      <c r="D674" s="829" t="s">
        <v>1501</v>
      </c>
      <c r="E674" s="830" t="s">
        <v>4794</v>
      </c>
      <c r="F674" s="830" t="s">
        <v>4794</v>
      </c>
      <c r="G674" s="830"/>
      <c r="H674" s="830" t="s">
        <v>4794</v>
      </c>
      <c r="I674" s="830" t="s">
        <v>4794</v>
      </c>
      <c r="J674" s="831">
        <v>20</v>
      </c>
      <c r="K674" s="830" t="s">
        <v>4794</v>
      </c>
      <c r="L674" s="830" t="s">
        <v>4794</v>
      </c>
      <c r="M674" s="831">
        <v>8</v>
      </c>
      <c r="N674" s="830" t="s">
        <v>4794</v>
      </c>
      <c r="O674" s="830" t="s">
        <v>4794</v>
      </c>
      <c r="P674" s="830" t="s">
        <v>4794</v>
      </c>
      <c r="Q674" s="832">
        <f t="shared" si="9"/>
        <v>28</v>
      </c>
      <c r="R674" s="833" t="s">
        <v>4025</v>
      </c>
      <c r="S674" s="836"/>
      <c r="T674" s="851"/>
      <c r="U674" s="851"/>
      <c r="V674" s="851"/>
      <c r="W674" s="851"/>
      <c r="X674" s="851"/>
      <c r="Y674" s="851"/>
      <c r="Z674" s="851"/>
      <c r="AA674" s="851"/>
      <c r="AB674" s="851"/>
      <c r="AC674" s="851"/>
      <c r="AD674" s="851"/>
      <c r="AE674" s="851"/>
      <c r="AF674" s="837"/>
    </row>
    <row r="675" spans="1:32" ht="31.5">
      <c r="A675" s="827">
        <v>646</v>
      </c>
      <c r="B675" s="828" t="s">
        <v>274</v>
      </c>
      <c r="C675" s="828" t="s">
        <v>1502</v>
      </c>
      <c r="D675" s="829" t="s">
        <v>1503</v>
      </c>
      <c r="E675" s="830" t="s">
        <v>4794</v>
      </c>
      <c r="F675" s="830" t="s">
        <v>4794</v>
      </c>
      <c r="G675" s="830" t="s">
        <v>4794</v>
      </c>
      <c r="H675" s="831">
        <v>12</v>
      </c>
      <c r="I675" s="830" t="s">
        <v>4794</v>
      </c>
      <c r="J675" s="830" t="s">
        <v>4794</v>
      </c>
      <c r="K675" s="830" t="s">
        <v>4794</v>
      </c>
      <c r="L675" s="830" t="s">
        <v>4794</v>
      </c>
      <c r="M675" s="830" t="s">
        <v>4794</v>
      </c>
      <c r="N675" s="830" t="s">
        <v>4794</v>
      </c>
      <c r="O675" s="830" t="s">
        <v>4794</v>
      </c>
      <c r="P675" s="830" t="s">
        <v>4794</v>
      </c>
      <c r="Q675" s="832">
        <f t="shared" si="9"/>
        <v>12</v>
      </c>
      <c r="R675" s="833" t="s">
        <v>4025</v>
      </c>
      <c r="S675" s="836"/>
      <c r="T675" s="851"/>
      <c r="U675" s="851"/>
      <c r="V675" s="851"/>
      <c r="W675" s="851"/>
      <c r="X675" s="851"/>
      <c r="Y675" s="851"/>
      <c r="Z675" s="851"/>
      <c r="AA675" s="851"/>
      <c r="AB675" s="851"/>
      <c r="AC675" s="851"/>
      <c r="AD675" s="851"/>
      <c r="AE675" s="851"/>
      <c r="AF675" s="837"/>
    </row>
    <row r="676" spans="1:32" ht="31.5">
      <c r="A676" s="827">
        <v>647</v>
      </c>
      <c r="B676" s="828" t="s">
        <v>274</v>
      </c>
      <c r="C676" s="828" t="s">
        <v>1504</v>
      </c>
      <c r="D676" s="829" t="s">
        <v>1505</v>
      </c>
      <c r="E676" s="830" t="s">
        <v>4794</v>
      </c>
      <c r="F676" s="830" t="s">
        <v>4794</v>
      </c>
      <c r="G676" s="830" t="s">
        <v>4794</v>
      </c>
      <c r="H676" s="831">
        <v>12</v>
      </c>
      <c r="I676" s="830" t="s">
        <v>4794</v>
      </c>
      <c r="J676" s="830" t="s">
        <v>4794</v>
      </c>
      <c r="K676" s="830" t="s">
        <v>4794</v>
      </c>
      <c r="L676" s="830" t="s">
        <v>4794</v>
      </c>
      <c r="M676" s="830" t="s">
        <v>4794</v>
      </c>
      <c r="N676" s="830" t="s">
        <v>4794</v>
      </c>
      <c r="O676" s="830" t="s">
        <v>4794</v>
      </c>
      <c r="P676" s="830" t="s">
        <v>4794</v>
      </c>
      <c r="Q676" s="832">
        <f t="shared" si="9"/>
        <v>12</v>
      </c>
      <c r="R676" s="833" t="s">
        <v>4025</v>
      </c>
      <c r="S676" s="836"/>
      <c r="T676" s="851"/>
      <c r="U676" s="851"/>
      <c r="V676" s="851"/>
      <c r="W676" s="851"/>
      <c r="X676" s="851"/>
      <c r="Y676" s="851"/>
      <c r="Z676" s="851"/>
      <c r="AA676" s="851"/>
      <c r="AB676" s="851"/>
      <c r="AC676" s="851"/>
      <c r="AD676" s="851"/>
      <c r="AE676" s="851"/>
      <c r="AF676" s="837"/>
    </row>
    <row r="677" spans="1:32" ht="31.5">
      <c r="A677" s="827">
        <v>648</v>
      </c>
      <c r="B677" s="828" t="s">
        <v>274</v>
      </c>
      <c r="C677" s="828" t="s">
        <v>1506</v>
      </c>
      <c r="D677" s="829" t="s">
        <v>1507</v>
      </c>
      <c r="E677" s="830" t="s">
        <v>4794</v>
      </c>
      <c r="F677" s="830" t="s">
        <v>4794</v>
      </c>
      <c r="G677" s="831">
        <v>6</v>
      </c>
      <c r="H677" s="830" t="s">
        <v>4794</v>
      </c>
      <c r="I677" s="830" t="s">
        <v>4794</v>
      </c>
      <c r="J677" s="830" t="s">
        <v>4794</v>
      </c>
      <c r="K677" s="831">
        <v>6</v>
      </c>
      <c r="L677" s="830" t="s">
        <v>4794</v>
      </c>
      <c r="M677" s="830" t="s">
        <v>4794</v>
      </c>
      <c r="N677" s="830" t="s">
        <v>4794</v>
      </c>
      <c r="O677" s="830" t="s">
        <v>4794</v>
      </c>
      <c r="P677" s="830" t="s">
        <v>4794</v>
      </c>
      <c r="Q677" s="832">
        <f t="shared" si="9"/>
        <v>12</v>
      </c>
      <c r="R677" s="833" t="s">
        <v>4025</v>
      </c>
      <c r="S677" s="836"/>
      <c r="T677" s="851"/>
      <c r="U677" s="851"/>
      <c r="V677" s="851"/>
      <c r="W677" s="851"/>
      <c r="X677" s="851"/>
      <c r="Y677" s="851"/>
      <c r="Z677" s="851"/>
      <c r="AA677" s="851"/>
      <c r="AB677" s="851"/>
      <c r="AC677" s="851"/>
      <c r="AD677" s="851"/>
      <c r="AE677" s="851"/>
      <c r="AF677" s="837"/>
    </row>
    <row r="678" spans="1:32" ht="31.5">
      <c r="A678" s="827">
        <v>649</v>
      </c>
      <c r="B678" s="828" t="s">
        <v>274</v>
      </c>
      <c r="C678" s="828" t="s">
        <v>1508</v>
      </c>
      <c r="D678" s="829" t="s">
        <v>1509</v>
      </c>
      <c r="E678" s="830" t="s">
        <v>4794</v>
      </c>
      <c r="F678" s="830" t="s">
        <v>4794</v>
      </c>
      <c r="G678" s="830" t="s">
        <v>4794</v>
      </c>
      <c r="H678" s="831">
        <v>6</v>
      </c>
      <c r="I678" s="830" t="s">
        <v>4794</v>
      </c>
      <c r="J678" s="830" t="s">
        <v>4794</v>
      </c>
      <c r="K678" s="830" t="s">
        <v>4794</v>
      </c>
      <c r="L678" s="831">
        <v>6</v>
      </c>
      <c r="M678" s="830" t="s">
        <v>4794</v>
      </c>
      <c r="N678" s="830" t="s">
        <v>4794</v>
      </c>
      <c r="O678" s="830" t="s">
        <v>4794</v>
      </c>
      <c r="P678" s="830" t="s">
        <v>4794</v>
      </c>
      <c r="Q678" s="832">
        <f t="shared" si="9"/>
        <v>12</v>
      </c>
      <c r="R678" s="833" t="s">
        <v>4025</v>
      </c>
      <c r="S678" s="836"/>
      <c r="T678" s="851"/>
      <c r="U678" s="851"/>
      <c r="V678" s="851"/>
      <c r="W678" s="851"/>
      <c r="X678" s="851"/>
      <c r="Y678" s="851"/>
      <c r="Z678" s="851"/>
      <c r="AA678" s="851"/>
      <c r="AB678" s="851"/>
      <c r="AC678" s="851"/>
      <c r="AD678" s="851"/>
      <c r="AE678" s="851"/>
      <c r="AF678" s="837"/>
    </row>
    <row r="679" spans="1:32" ht="31.5">
      <c r="A679" s="827">
        <v>650</v>
      </c>
      <c r="B679" s="828" t="s">
        <v>274</v>
      </c>
      <c r="C679" s="828" t="s">
        <v>1510</v>
      </c>
      <c r="D679" s="829" t="s">
        <v>1511</v>
      </c>
      <c r="E679" s="830" t="s">
        <v>4794</v>
      </c>
      <c r="F679" s="830" t="s">
        <v>4794</v>
      </c>
      <c r="G679" s="830" t="s">
        <v>4794</v>
      </c>
      <c r="H679" s="830" t="s">
        <v>4794</v>
      </c>
      <c r="I679" s="831">
        <v>6</v>
      </c>
      <c r="J679" s="830" t="s">
        <v>4794</v>
      </c>
      <c r="K679" s="830" t="s">
        <v>4794</v>
      </c>
      <c r="L679" s="830" t="s">
        <v>4794</v>
      </c>
      <c r="M679" s="831">
        <v>6</v>
      </c>
      <c r="N679" s="830" t="s">
        <v>4794</v>
      </c>
      <c r="O679" s="830" t="s">
        <v>4794</v>
      </c>
      <c r="P679" s="830" t="s">
        <v>4794</v>
      </c>
      <c r="Q679" s="832">
        <f t="shared" si="9"/>
        <v>12</v>
      </c>
      <c r="R679" s="833" t="s">
        <v>4025</v>
      </c>
      <c r="S679" s="836"/>
      <c r="T679" s="851"/>
      <c r="U679" s="851"/>
      <c r="V679" s="851"/>
      <c r="W679" s="851"/>
      <c r="X679" s="851"/>
      <c r="Y679" s="851"/>
      <c r="Z679" s="851"/>
      <c r="AA679" s="851"/>
      <c r="AB679" s="851"/>
      <c r="AC679" s="851"/>
      <c r="AD679" s="851"/>
      <c r="AE679" s="851"/>
      <c r="AF679" s="837"/>
    </row>
    <row r="680" spans="1:32" ht="42">
      <c r="A680" s="827">
        <v>651</v>
      </c>
      <c r="B680" s="828" t="s">
        <v>274</v>
      </c>
      <c r="C680" s="828" t="s">
        <v>1512</v>
      </c>
      <c r="D680" s="829" t="s">
        <v>1513</v>
      </c>
      <c r="E680" s="830" t="s">
        <v>4794</v>
      </c>
      <c r="F680" s="830"/>
      <c r="G680" s="830" t="s">
        <v>4794</v>
      </c>
      <c r="H680" s="830" t="s">
        <v>4794</v>
      </c>
      <c r="I680" s="830" t="s">
        <v>4794</v>
      </c>
      <c r="J680" s="830" t="s">
        <v>4794</v>
      </c>
      <c r="K680" s="831">
        <v>1</v>
      </c>
      <c r="L680" s="830" t="s">
        <v>4794</v>
      </c>
      <c r="M680" s="830" t="s">
        <v>4794</v>
      </c>
      <c r="N680" s="830" t="s">
        <v>4794</v>
      </c>
      <c r="O680" s="830" t="s">
        <v>4794</v>
      </c>
      <c r="P680" s="830" t="s">
        <v>4794</v>
      </c>
      <c r="Q680" s="832">
        <f t="shared" si="9"/>
        <v>1</v>
      </c>
      <c r="R680" s="833" t="s">
        <v>4025</v>
      </c>
      <c r="S680" s="834"/>
      <c r="T680" s="850"/>
      <c r="U680" s="850"/>
      <c r="V680" s="850"/>
      <c r="W680" s="850"/>
      <c r="X680" s="850"/>
      <c r="Y680" s="850"/>
      <c r="Z680" s="850"/>
      <c r="AA680" s="850"/>
      <c r="AB680" s="850"/>
      <c r="AC680" s="850"/>
      <c r="AD680" s="850"/>
      <c r="AE680" s="850"/>
      <c r="AF680" s="835"/>
    </row>
    <row r="681" spans="1:32" ht="42">
      <c r="A681" s="827">
        <v>652</v>
      </c>
      <c r="B681" s="828" t="s">
        <v>274</v>
      </c>
      <c r="C681" s="828" t="s">
        <v>1514</v>
      </c>
      <c r="D681" s="829" t="s">
        <v>1515</v>
      </c>
      <c r="E681" s="830" t="s">
        <v>4794</v>
      </c>
      <c r="F681" s="830" t="s">
        <v>4794</v>
      </c>
      <c r="G681" s="830" t="s">
        <v>4794</v>
      </c>
      <c r="H681" s="830" t="s">
        <v>4794</v>
      </c>
      <c r="I681" s="831">
        <v>1</v>
      </c>
      <c r="J681" s="830" t="s">
        <v>4794</v>
      </c>
      <c r="K681" s="830" t="s">
        <v>4794</v>
      </c>
      <c r="L681" s="830"/>
      <c r="M681" s="830" t="s">
        <v>4794</v>
      </c>
      <c r="N681" s="830" t="s">
        <v>4794</v>
      </c>
      <c r="O681" s="830" t="s">
        <v>4794</v>
      </c>
      <c r="P681" s="830" t="s">
        <v>4794</v>
      </c>
      <c r="Q681" s="832">
        <f t="shared" si="9"/>
        <v>1</v>
      </c>
      <c r="R681" s="833" t="s">
        <v>4025</v>
      </c>
      <c r="S681" s="836"/>
      <c r="T681" s="852"/>
      <c r="U681" s="852"/>
      <c r="V681" s="852"/>
      <c r="W681" s="852"/>
      <c r="X681" s="852"/>
      <c r="Y681" s="852"/>
      <c r="Z681" s="852"/>
      <c r="AA681" s="852"/>
      <c r="AB681" s="852"/>
      <c r="AC681" s="852"/>
      <c r="AD681" s="852"/>
      <c r="AE681" s="852"/>
      <c r="AF681" s="837"/>
    </row>
    <row r="682" spans="1:32" ht="31.5">
      <c r="A682" s="827">
        <v>653</v>
      </c>
      <c r="B682" s="828" t="s">
        <v>274</v>
      </c>
      <c r="C682" s="828" t="s">
        <v>1516</v>
      </c>
      <c r="D682" s="829" t="s">
        <v>1517</v>
      </c>
      <c r="E682" s="830" t="s">
        <v>4794</v>
      </c>
      <c r="F682" s="830" t="s">
        <v>4794</v>
      </c>
      <c r="G682" s="831">
        <v>20</v>
      </c>
      <c r="H682" s="830" t="s">
        <v>4794</v>
      </c>
      <c r="I682" s="830" t="s">
        <v>4794</v>
      </c>
      <c r="J682" s="830" t="s">
        <v>4794</v>
      </c>
      <c r="K682" s="830" t="s">
        <v>4794</v>
      </c>
      <c r="L682" s="830" t="s">
        <v>4794</v>
      </c>
      <c r="M682" s="830" t="s">
        <v>4794</v>
      </c>
      <c r="N682" s="830" t="s">
        <v>4794</v>
      </c>
      <c r="O682" s="830" t="s">
        <v>4794</v>
      </c>
      <c r="P682" s="830" t="s">
        <v>4794</v>
      </c>
      <c r="Q682" s="832">
        <f t="shared" si="9"/>
        <v>20</v>
      </c>
      <c r="R682" s="833" t="s">
        <v>4025</v>
      </c>
      <c r="S682" s="836"/>
      <c r="T682" s="851"/>
      <c r="U682" s="851"/>
      <c r="V682" s="851"/>
      <c r="W682" s="851"/>
      <c r="X682" s="851"/>
      <c r="Y682" s="851"/>
      <c r="Z682" s="851"/>
      <c r="AA682" s="851"/>
      <c r="AB682" s="851"/>
      <c r="AC682" s="851"/>
      <c r="AD682" s="851"/>
      <c r="AE682" s="851"/>
      <c r="AF682" s="837"/>
    </row>
    <row r="683" spans="1:32" ht="31.5">
      <c r="A683" s="827">
        <v>654</v>
      </c>
      <c r="B683" s="828" t="s">
        <v>274</v>
      </c>
      <c r="C683" s="828" t="s">
        <v>1518</v>
      </c>
      <c r="D683" s="829" t="s">
        <v>1519</v>
      </c>
      <c r="E683" s="831">
        <v>5</v>
      </c>
      <c r="F683" s="831">
        <v>5</v>
      </c>
      <c r="G683" s="831">
        <v>5</v>
      </c>
      <c r="H683" s="831">
        <v>5</v>
      </c>
      <c r="I683" s="831">
        <v>5</v>
      </c>
      <c r="J683" s="831">
        <v>5</v>
      </c>
      <c r="K683" s="831">
        <v>5</v>
      </c>
      <c r="L683" s="831">
        <v>5</v>
      </c>
      <c r="M683" s="831">
        <v>5</v>
      </c>
      <c r="N683" s="831">
        <v>5</v>
      </c>
      <c r="O683" s="831">
        <v>5</v>
      </c>
      <c r="P683" s="831">
        <v>5</v>
      </c>
      <c r="Q683" s="832">
        <f t="shared" si="9"/>
        <v>60</v>
      </c>
      <c r="R683" s="833" t="s">
        <v>4025</v>
      </c>
      <c r="S683" s="836"/>
      <c r="T683" s="851"/>
      <c r="U683" s="851"/>
      <c r="V683" s="851"/>
      <c r="W683" s="851"/>
      <c r="X683" s="851"/>
      <c r="Y683" s="851"/>
      <c r="Z683" s="851"/>
      <c r="AA683" s="851"/>
      <c r="AB683" s="851"/>
      <c r="AC683" s="851"/>
      <c r="AD683" s="851"/>
      <c r="AE683" s="851"/>
      <c r="AF683" s="837"/>
    </row>
    <row r="684" spans="1:32" ht="31.5">
      <c r="A684" s="827">
        <v>655</v>
      </c>
      <c r="B684" s="828" t="s">
        <v>274</v>
      </c>
      <c r="C684" s="828" t="s">
        <v>1520</v>
      </c>
      <c r="D684" s="829" t="s">
        <v>1521</v>
      </c>
      <c r="E684" s="831">
        <v>10</v>
      </c>
      <c r="F684" s="831">
        <v>10</v>
      </c>
      <c r="G684" s="831">
        <v>10</v>
      </c>
      <c r="H684" s="831">
        <v>10</v>
      </c>
      <c r="I684" s="831">
        <v>10</v>
      </c>
      <c r="J684" s="831">
        <v>10</v>
      </c>
      <c r="K684" s="831">
        <v>10</v>
      </c>
      <c r="L684" s="831">
        <v>10</v>
      </c>
      <c r="M684" s="831">
        <v>10</v>
      </c>
      <c r="N684" s="831">
        <v>10</v>
      </c>
      <c r="O684" s="831">
        <v>10</v>
      </c>
      <c r="P684" s="831">
        <v>10</v>
      </c>
      <c r="Q684" s="832">
        <f t="shared" si="9"/>
        <v>120</v>
      </c>
      <c r="R684" s="833" t="s">
        <v>4025</v>
      </c>
      <c r="S684" s="836"/>
      <c r="T684" s="851"/>
      <c r="U684" s="851"/>
      <c r="V684" s="851"/>
      <c r="W684" s="851"/>
      <c r="X684" s="851"/>
      <c r="Y684" s="851"/>
      <c r="Z684" s="851"/>
      <c r="AA684" s="851"/>
      <c r="AB684" s="851"/>
      <c r="AC684" s="851"/>
      <c r="AD684" s="851"/>
      <c r="AE684" s="851"/>
      <c r="AF684" s="837"/>
    </row>
    <row r="685" spans="1:32" ht="31.5">
      <c r="A685" s="827">
        <v>656</v>
      </c>
      <c r="B685" s="828" t="s">
        <v>274</v>
      </c>
      <c r="C685" s="828" t="s">
        <v>1522</v>
      </c>
      <c r="D685" s="829" t="s">
        <v>1523</v>
      </c>
      <c r="E685" s="831">
        <v>10</v>
      </c>
      <c r="F685" s="831">
        <v>10</v>
      </c>
      <c r="G685" s="831">
        <v>10</v>
      </c>
      <c r="H685" s="831">
        <v>10</v>
      </c>
      <c r="I685" s="831">
        <v>10</v>
      </c>
      <c r="J685" s="831">
        <v>10</v>
      </c>
      <c r="K685" s="831">
        <v>10</v>
      </c>
      <c r="L685" s="831">
        <v>10</v>
      </c>
      <c r="M685" s="831">
        <v>10</v>
      </c>
      <c r="N685" s="831">
        <v>10</v>
      </c>
      <c r="O685" s="831">
        <v>10</v>
      </c>
      <c r="P685" s="831">
        <v>10</v>
      </c>
      <c r="Q685" s="832">
        <f t="shared" si="9"/>
        <v>120</v>
      </c>
      <c r="R685" s="833" t="s">
        <v>4025</v>
      </c>
      <c r="S685" s="836"/>
      <c r="T685" s="851"/>
      <c r="U685" s="851"/>
      <c r="V685" s="851"/>
      <c r="W685" s="851"/>
      <c r="X685" s="851"/>
      <c r="Y685" s="851"/>
      <c r="Z685" s="851"/>
      <c r="AA685" s="851"/>
      <c r="AB685" s="851"/>
      <c r="AC685" s="851"/>
      <c r="AD685" s="851"/>
      <c r="AE685" s="851"/>
      <c r="AF685" s="837"/>
    </row>
    <row r="686" spans="1:32" ht="52.5">
      <c r="A686" s="827">
        <v>657</v>
      </c>
      <c r="B686" s="828" t="s">
        <v>274</v>
      </c>
      <c r="C686" s="828" t="s">
        <v>1524</v>
      </c>
      <c r="D686" s="829" t="s">
        <v>1525</v>
      </c>
      <c r="E686" s="830" t="s">
        <v>4794</v>
      </c>
      <c r="F686" s="831">
        <v>2</v>
      </c>
      <c r="G686" s="830" t="s">
        <v>4794</v>
      </c>
      <c r="H686" s="831">
        <v>2</v>
      </c>
      <c r="I686" s="830" t="s">
        <v>4794</v>
      </c>
      <c r="J686" s="831">
        <v>2</v>
      </c>
      <c r="K686" s="830" t="s">
        <v>4794</v>
      </c>
      <c r="L686" s="831">
        <v>2</v>
      </c>
      <c r="M686" s="830" t="s">
        <v>4794</v>
      </c>
      <c r="N686" s="831">
        <v>2</v>
      </c>
      <c r="O686" s="830" t="s">
        <v>4794</v>
      </c>
      <c r="P686" s="830" t="s">
        <v>4794</v>
      </c>
      <c r="Q686" s="832">
        <f t="shared" si="9"/>
        <v>10</v>
      </c>
      <c r="R686" s="833" t="s">
        <v>4025</v>
      </c>
      <c r="S686" s="836"/>
      <c r="T686" s="851"/>
      <c r="U686" s="851"/>
      <c r="V686" s="851"/>
      <c r="W686" s="851"/>
      <c r="X686" s="851"/>
      <c r="Y686" s="851"/>
      <c r="Z686" s="851"/>
      <c r="AA686" s="851"/>
      <c r="AB686" s="851"/>
      <c r="AC686" s="851"/>
      <c r="AD686" s="851"/>
      <c r="AE686" s="851"/>
      <c r="AF686" s="837"/>
    </row>
    <row r="687" spans="1:32" ht="52.5">
      <c r="A687" s="827">
        <v>658</v>
      </c>
      <c r="B687" s="828" t="s">
        <v>274</v>
      </c>
      <c r="C687" s="828" t="s">
        <v>1526</v>
      </c>
      <c r="D687" s="829" t="s">
        <v>1527</v>
      </c>
      <c r="E687" s="830" t="s">
        <v>4794</v>
      </c>
      <c r="F687" s="830" t="s">
        <v>4794</v>
      </c>
      <c r="G687" s="830" t="s">
        <v>4794</v>
      </c>
      <c r="H687" s="831">
        <v>2</v>
      </c>
      <c r="I687" s="830" t="s">
        <v>4794</v>
      </c>
      <c r="J687" s="831">
        <v>2</v>
      </c>
      <c r="K687" s="830" t="s">
        <v>4794</v>
      </c>
      <c r="L687" s="831">
        <v>2</v>
      </c>
      <c r="M687" s="830" t="s">
        <v>4794</v>
      </c>
      <c r="N687" s="831">
        <v>2</v>
      </c>
      <c r="O687" s="830" t="s">
        <v>4794</v>
      </c>
      <c r="P687" s="831">
        <v>2</v>
      </c>
      <c r="Q687" s="832">
        <f t="shared" si="9"/>
        <v>10</v>
      </c>
      <c r="R687" s="833" t="s">
        <v>4025</v>
      </c>
      <c r="S687" s="836"/>
      <c r="T687" s="851"/>
      <c r="U687" s="851"/>
      <c r="V687" s="851"/>
      <c r="W687" s="851"/>
      <c r="X687" s="851"/>
      <c r="Y687" s="851"/>
      <c r="Z687" s="851"/>
      <c r="AA687" s="851"/>
      <c r="AB687" s="851"/>
      <c r="AC687" s="851"/>
      <c r="AD687" s="851"/>
      <c r="AE687" s="851"/>
      <c r="AF687" s="837"/>
    </row>
    <row r="688" spans="1:32" ht="21">
      <c r="A688" s="827">
        <v>659</v>
      </c>
      <c r="B688" s="828" t="s">
        <v>274</v>
      </c>
      <c r="C688" s="828" t="s">
        <v>1528</v>
      </c>
      <c r="D688" s="829" t="s">
        <v>1529</v>
      </c>
      <c r="E688" s="830" t="s">
        <v>4794</v>
      </c>
      <c r="F688" s="830" t="s">
        <v>4794</v>
      </c>
      <c r="G688" s="831">
        <v>12</v>
      </c>
      <c r="H688" s="830" t="s">
        <v>4794</v>
      </c>
      <c r="I688" s="830" t="s">
        <v>4794</v>
      </c>
      <c r="J688" s="830" t="s">
        <v>4794</v>
      </c>
      <c r="K688" s="830" t="s">
        <v>4794</v>
      </c>
      <c r="L688" s="830" t="s">
        <v>4794</v>
      </c>
      <c r="M688" s="830" t="s">
        <v>4794</v>
      </c>
      <c r="N688" s="830" t="s">
        <v>4794</v>
      </c>
      <c r="O688" s="830" t="s">
        <v>4794</v>
      </c>
      <c r="P688" s="830" t="s">
        <v>4794</v>
      </c>
      <c r="Q688" s="832">
        <f t="shared" si="9"/>
        <v>12</v>
      </c>
      <c r="R688" s="833" t="s">
        <v>4025</v>
      </c>
      <c r="S688" s="836"/>
      <c r="T688" s="851"/>
      <c r="U688" s="851"/>
      <c r="V688" s="851"/>
      <c r="W688" s="851"/>
      <c r="X688" s="851"/>
      <c r="Y688" s="851"/>
      <c r="Z688" s="851"/>
      <c r="AA688" s="851"/>
      <c r="AB688" s="851"/>
      <c r="AC688" s="851"/>
      <c r="AD688" s="851"/>
      <c r="AE688" s="851"/>
      <c r="AF688" s="837"/>
    </row>
    <row r="689" spans="1:32" ht="63">
      <c r="A689" s="827">
        <v>660</v>
      </c>
      <c r="B689" s="828" t="s">
        <v>274</v>
      </c>
      <c r="C689" s="828" t="s">
        <v>1530</v>
      </c>
      <c r="D689" s="829" t="s">
        <v>1531</v>
      </c>
      <c r="E689" s="830" t="s">
        <v>4794</v>
      </c>
      <c r="F689" s="830" t="s">
        <v>4794</v>
      </c>
      <c r="G689" s="830" t="s">
        <v>4794</v>
      </c>
      <c r="H689" s="830" t="s">
        <v>4794</v>
      </c>
      <c r="I689" s="831">
        <v>10</v>
      </c>
      <c r="J689" s="830" t="s">
        <v>4794</v>
      </c>
      <c r="K689" s="831">
        <v>5</v>
      </c>
      <c r="L689" s="830" t="s">
        <v>4794</v>
      </c>
      <c r="M689" s="830" t="s">
        <v>4794</v>
      </c>
      <c r="N689" s="830" t="s">
        <v>4794</v>
      </c>
      <c r="O689" s="830" t="s">
        <v>4794</v>
      </c>
      <c r="P689" s="830" t="s">
        <v>4794</v>
      </c>
      <c r="Q689" s="832">
        <f t="shared" si="9"/>
        <v>15</v>
      </c>
      <c r="R689" s="833" t="s">
        <v>4025</v>
      </c>
      <c r="S689" s="836"/>
      <c r="T689" s="851"/>
      <c r="U689" s="851"/>
      <c r="V689" s="851"/>
      <c r="W689" s="851"/>
      <c r="X689" s="851"/>
      <c r="Y689" s="851"/>
      <c r="Z689" s="851"/>
      <c r="AA689" s="851"/>
      <c r="AB689" s="851"/>
      <c r="AC689" s="851"/>
      <c r="AD689" s="851"/>
      <c r="AE689" s="851"/>
      <c r="AF689" s="837"/>
    </row>
    <row r="690" spans="1:32" ht="42">
      <c r="A690" s="827">
        <v>661</v>
      </c>
      <c r="B690" s="828" t="s">
        <v>274</v>
      </c>
      <c r="C690" s="828" t="s">
        <v>1532</v>
      </c>
      <c r="D690" s="829" t="s">
        <v>1533</v>
      </c>
      <c r="E690" s="830" t="s">
        <v>4794</v>
      </c>
      <c r="F690" s="830" t="s">
        <v>4794</v>
      </c>
      <c r="G690" s="830" t="s">
        <v>4794</v>
      </c>
      <c r="H690" s="830" t="s">
        <v>4794</v>
      </c>
      <c r="I690" s="831">
        <v>3</v>
      </c>
      <c r="J690" s="830" t="s">
        <v>4794</v>
      </c>
      <c r="K690" s="830" t="s">
        <v>4794</v>
      </c>
      <c r="L690" s="831">
        <v>3</v>
      </c>
      <c r="M690" s="830" t="s">
        <v>4794</v>
      </c>
      <c r="N690" s="830" t="s">
        <v>4794</v>
      </c>
      <c r="O690" s="830" t="s">
        <v>4794</v>
      </c>
      <c r="P690" s="830" t="s">
        <v>4794</v>
      </c>
      <c r="Q690" s="832">
        <f t="shared" si="9"/>
        <v>6</v>
      </c>
      <c r="R690" s="833" t="s">
        <v>4025</v>
      </c>
      <c r="S690" s="836"/>
      <c r="T690" s="851"/>
      <c r="U690" s="851"/>
      <c r="V690" s="851"/>
      <c r="W690" s="851"/>
      <c r="X690" s="851"/>
      <c r="Y690" s="851"/>
      <c r="Z690" s="851"/>
      <c r="AA690" s="851"/>
      <c r="AB690" s="851"/>
      <c r="AC690" s="851"/>
      <c r="AD690" s="851"/>
      <c r="AE690" s="851"/>
      <c r="AF690" s="837"/>
    </row>
    <row r="691" spans="1:32" ht="42">
      <c r="A691" s="827">
        <v>662</v>
      </c>
      <c r="B691" s="828" t="s">
        <v>274</v>
      </c>
      <c r="C691" s="828" t="s">
        <v>1534</v>
      </c>
      <c r="D691" s="829" t="s">
        <v>1535</v>
      </c>
      <c r="E691" s="830" t="s">
        <v>4794</v>
      </c>
      <c r="F691" s="830" t="s">
        <v>4794</v>
      </c>
      <c r="G691" s="830" t="s">
        <v>4794</v>
      </c>
      <c r="H691" s="830" t="s">
        <v>4794</v>
      </c>
      <c r="I691" s="831">
        <v>3</v>
      </c>
      <c r="J691" s="830" t="s">
        <v>4794</v>
      </c>
      <c r="K691" s="831">
        <v>3</v>
      </c>
      <c r="L691" s="830" t="s">
        <v>4794</v>
      </c>
      <c r="M691" s="830" t="s">
        <v>4794</v>
      </c>
      <c r="N691" s="830" t="s">
        <v>4794</v>
      </c>
      <c r="O691" s="830" t="s">
        <v>4794</v>
      </c>
      <c r="P691" s="830" t="s">
        <v>4794</v>
      </c>
      <c r="Q691" s="832">
        <f t="shared" si="9"/>
        <v>6</v>
      </c>
      <c r="R691" s="833" t="s">
        <v>4025</v>
      </c>
      <c r="S691" s="836"/>
      <c r="T691" s="851"/>
      <c r="U691" s="851"/>
      <c r="V691" s="851"/>
      <c r="W691" s="851"/>
      <c r="X691" s="851"/>
      <c r="Y691" s="851"/>
      <c r="Z691" s="851"/>
      <c r="AA691" s="851"/>
      <c r="AB691" s="851"/>
      <c r="AC691" s="851"/>
      <c r="AD691" s="851"/>
      <c r="AE691" s="851"/>
      <c r="AF691" s="837"/>
    </row>
    <row r="692" spans="1:32" ht="42">
      <c r="A692" s="827">
        <v>663</v>
      </c>
      <c r="B692" s="828" t="s">
        <v>274</v>
      </c>
      <c r="C692" s="828" t="s">
        <v>1536</v>
      </c>
      <c r="D692" s="829" t="s">
        <v>1537</v>
      </c>
      <c r="E692" s="830" t="s">
        <v>4794</v>
      </c>
      <c r="F692" s="830" t="s">
        <v>4794</v>
      </c>
      <c r="G692" s="830" t="s">
        <v>4794</v>
      </c>
      <c r="H692" s="830" t="s">
        <v>4794</v>
      </c>
      <c r="I692" s="831">
        <v>3</v>
      </c>
      <c r="J692" s="830" t="s">
        <v>4794</v>
      </c>
      <c r="K692" s="831">
        <v>3</v>
      </c>
      <c r="L692" s="830" t="s">
        <v>4794</v>
      </c>
      <c r="M692" s="830" t="s">
        <v>4794</v>
      </c>
      <c r="N692" s="830" t="s">
        <v>4794</v>
      </c>
      <c r="O692" s="830" t="s">
        <v>4794</v>
      </c>
      <c r="P692" s="830" t="s">
        <v>4794</v>
      </c>
      <c r="Q692" s="832">
        <f t="shared" si="9"/>
        <v>6</v>
      </c>
      <c r="R692" s="833" t="s">
        <v>4025</v>
      </c>
      <c r="S692" s="836"/>
      <c r="T692" s="851"/>
      <c r="U692" s="851"/>
      <c r="V692" s="851"/>
      <c r="W692" s="851"/>
      <c r="X692" s="851"/>
      <c r="Y692" s="851"/>
      <c r="Z692" s="851"/>
      <c r="AA692" s="851"/>
      <c r="AB692" s="851"/>
      <c r="AC692" s="851"/>
      <c r="AD692" s="851"/>
      <c r="AE692" s="851"/>
      <c r="AF692" s="837"/>
    </row>
    <row r="693" spans="1:32" ht="31.5">
      <c r="A693" s="827">
        <v>664</v>
      </c>
      <c r="B693" s="828" t="s">
        <v>274</v>
      </c>
      <c r="C693" s="828" t="s">
        <v>1538</v>
      </c>
      <c r="D693" s="829" t="s">
        <v>1539</v>
      </c>
      <c r="E693" s="830" t="s">
        <v>4794</v>
      </c>
      <c r="F693" s="830" t="s">
        <v>4794</v>
      </c>
      <c r="G693" s="830" t="s">
        <v>4794</v>
      </c>
      <c r="H693" s="830" t="s">
        <v>4794</v>
      </c>
      <c r="I693" s="830"/>
      <c r="J693" s="831">
        <v>1</v>
      </c>
      <c r="K693" s="830" t="s">
        <v>4794</v>
      </c>
      <c r="L693" s="830" t="s">
        <v>4794</v>
      </c>
      <c r="M693" s="830" t="s">
        <v>4794</v>
      </c>
      <c r="N693" s="830" t="s">
        <v>4794</v>
      </c>
      <c r="O693" s="830" t="s">
        <v>4794</v>
      </c>
      <c r="P693" s="830" t="s">
        <v>4794</v>
      </c>
      <c r="Q693" s="832">
        <f t="shared" si="9"/>
        <v>1</v>
      </c>
      <c r="R693" s="833" t="s">
        <v>4025</v>
      </c>
      <c r="S693" s="836"/>
      <c r="T693" s="851"/>
      <c r="U693" s="851"/>
      <c r="V693" s="851"/>
      <c r="W693" s="851"/>
      <c r="X693" s="851"/>
      <c r="Y693" s="851"/>
      <c r="Z693" s="851"/>
      <c r="AA693" s="851"/>
      <c r="AB693" s="851"/>
      <c r="AC693" s="851"/>
      <c r="AD693" s="851"/>
      <c r="AE693" s="851"/>
      <c r="AF693" s="837"/>
    </row>
    <row r="694" spans="1:32" ht="42">
      <c r="A694" s="827">
        <v>665</v>
      </c>
      <c r="B694" s="828" t="s">
        <v>274</v>
      </c>
      <c r="C694" s="828" t="s">
        <v>1540</v>
      </c>
      <c r="D694" s="829" t="s">
        <v>1541</v>
      </c>
      <c r="E694" s="831">
        <v>2</v>
      </c>
      <c r="F694" s="831">
        <v>2</v>
      </c>
      <c r="G694" s="831">
        <v>2</v>
      </c>
      <c r="H694" s="831">
        <v>2</v>
      </c>
      <c r="I694" s="831">
        <v>2</v>
      </c>
      <c r="J694" s="831">
        <v>2</v>
      </c>
      <c r="K694" s="831">
        <v>2</v>
      </c>
      <c r="L694" s="831">
        <v>2</v>
      </c>
      <c r="M694" s="831">
        <v>2</v>
      </c>
      <c r="N694" s="831">
        <v>2</v>
      </c>
      <c r="O694" s="831">
        <v>2</v>
      </c>
      <c r="P694" s="831">
        <v>2</v>
      </c>
      <c r="Q694" s="832">
        <f t="shared" si="9"/>
        <v>24</v>
      </c>
      <c r="R694" s="833" t="s">
        <v>4025</v>
      </c>
      <c r="S694" s="836"/>
      <c r="T694" s="851"/>
      <c r="U694" s="851"/>
      <c r="V694" s="851"/>
      <c r="W694" s="851"/>
      <c r="X694" s="851"/>
      <c r="Y694" s="851"/>
      <c r="Z694" s="851"/>
      <c r="AA694" s="851"/>
      <c r="AB694" s="851"/>
      <c r="AC694" s="851"/>
      <c r="AD694" s="851"/>
      <c r="AE694" s="851"/>
      <c r="AF694" s="837"/>
    </row>
    <row r="695" spans="1:32" ht="42">
      <c r="A695" s="827">
        <v>666</v>
      </c>
      <c r="B695" s="828" t="s">
        <v>274</v>
      </c>
      <c r="C695" s="828" t="s">
        <v>1542</v>
      </c>
      <c r="D695" s="829" t="s">
        <v>1543</v>
      </c>
      <c r="E695" s="831">
        <v>2</v>
      </c>
      <c r="F695" s="831">
        <v>2</v>
      </c>
      <c r="G695" s="831">
        <v>2</v>
      </c>
      <c r="H695" s="831">
        <v>2</v>
      </c>
      <c r="I695" s="831">
        <v>2</v>
      </c>
      <c r="J695" s="831">
        <v>2</v>
      </c>
      <c r="K695" s="831">
        <v>2</v>
      </c>
      <c r="L695" s="831">
        <v>2</v>
      </c>
      <c r="M695" s="831">
        <v>2</v>
      </c>
      <c r="N695" s="831">
        <v>2</v>
      </c>
      <c r="O695" s="831">
        <v>2</v>
      </c>
      <c r="P695" s="831">
        <v>2</v>
      </c>
      <c r="Q695" s="832">
        <f t="shared" si="9"/>
        <v>24</v>
      </c>
      <c r="R695" s="833" t="s">
        <v>4025</v>
      </c>
      <c r="S695" s="836"/>
      <c r="T695" s="851"/>
      <c r="U695" s="851"/>
      <c r="V695" s="851"/>
      <c r="W695" s="851"/>
      <c r="X695" s="851"/>
      <c r="Y695" s="851"/>
      <c r="Z695" s="851"/>
      <c r="AA695" s="851"/>
      <c r="AB695" s="851"/>
      <c r="AC695" s="851"/>
      <c r="AD695" s="851"/>
      <c r="AE695" s="851"/>
      <c r="AF695" s="837"/>
    </row>
    <row r="696" spans="1:32" ht="42">
      <c r="A696" s="827">
        <v>667</v>
      </c>
      <c r="B696" s="828" t="s">
        <v>274</v>
      </c>
      <c r="C696" s="828" t="s">
        <v>1544</v>
      </c>
      <c r="D696" s="829" t="s">
        <v>1545</v>
      </c>
      <c r="E696" s="830" t="s">
        <v>4794</v>
      </c>
      <c r="F696" s="830" t="s">
        <v>4794</v>
      </c>
      <c r="G696" s="831">
        <v>1</v>
      </c>
      <c r="H696" s="830"/>
      <c r="I696" s="831">
        <v>1</v>
      </c>
      <c r="J696" s="830" t="s">
        <v>4794</v>
      </c>
      <c r="K696" s="831">
        <v>1</v>
      </c>
      <c r="L696" s="830" t="s">
        <v>4794</v>
      </c>
      <c r="M696" s="830"/>
      <c r="N696" s="830" t="s">
        <v>4794</v>
      </c>
      <c r="O696" s="830"/>
      <c r="P696" s="830" t="s">
        <v>4794</v>
      </c>
      <c r="Q696" s="832">
        <f t="shared" si="9"/>
        <v>3</v>
      </c>
      <c r="R696" s="833" t="s">
        <v>4025</v>
      </c>
      <c r="S696" s="836"/>
      <c r="T696" s="851"/>
      <c r="U696" s="851"/>
      <c r="V696" s="851"/>
      <c r="W696" s="851"/>
      <c r="X696" s="851"/>
      <c r="Y696" s="851"/>
      <c r="Z696" s="851"/>
      <c r="AA696" s="851"/>
      <c r="AB696" s="851"/>
      <c r="AC696" s="851"/>
      <c r="AD696" s="851"/>
      <c r="AE696" s="851"/>
      <c r="AF696" s="837"/>
    </row>
    <row r="697" spans="1:32" ht="42">
      <c r="A697" s="827">
        <v>668</v>
      </c>
      <c r="B697" s="828" t="s">
        <v>274</v>
      </c>
      <c r="C697" s="828" t="s">
        <v>1546</v>
      </c>
      <c r="D697" s="829" t="s">
        <v>1547</v>
      </c>
      <c r="E697" s="830" t="s">
        <v>4794</v>
      </c>
      <c r="F697" s="830" t="s">
        <v>4794</v>
      </c>
      <c r="G697" s="830" t="s">
        <v>4794</v>
      </c>
      <c r="H697" s="830" t="s">
        <v>4794</v>
      </c>
      <c r="I697" s="830" t="s">
        <v>4794</v>
      </c>
      <c r="J697" s="831">
        <v>1</v>
      </c>
      <c r="K697" s="830" t="s">
        <v>4794</v>
      </c>
      <c r="L697" s="830" t="s">
        <v>4794</v>
      </c>
      <c r="M697" s="830" t="s">
        <v>4794</v>
      </c>
      <c r="N697" s="830" t="s">
        <v>4794</v>
      </c>
      <c r="O697" s="830" t="s">
        <v>4794</v>
      </c>
      <c r="P697" s="830" t="s">
        <v>4794</v>
      </c>
      <c r="Q697" s="832">
        <f t="shared" si="9"/>
        <v>1</v>
      </c>
      <c r="R697" s="833" t="s">
        <v>4025</v>
      </c>
      <c r="S697" s="836"/>
      <c r="T697" s="851"/>
      <c r="U697" s="851"/>
      <c r="V697" s="851"/>
      <c r="W697" s="851"/>
      <c r="X697" s="851"/>
      <c r="Y697" s="851"/>
      <c r="Z697" s="851"/>
      <c r="AA697" s="851"/>
      <c r="AB697" s="851"/>
      <c r="AC697" s="851"/>
      <c r="AD697" s="851"/>
      <c r="AE697" s="851"/>
      <c r="AF697" s="837"/>
    </row>
    <row r="698" spans="1:32" ht="21">
      <c r="A698" s="827">
        <v>669</v>
      </c>
      <c r="B698" s="828" t="s">
        <v>274</v>
      </c>
      <c r="C698" s="828" t="s">
        <v>1548</v>
      </c>
      <c r="D698" s="829" t="s">
        <v>1549</v>
      </c>
      <c r="E698" s="830" t="s">
        <v>4794</v>
      </c>
      <c r="F698" s="830" t="s">
        <v>4794</v>
      </c>
      <c r="G698" s="831">
        <v>5</v>
      </c>
      <c r="H698" s="830" t="s">
        <v>4794</v>
      </c>
      <c r="I698" s="831">
        <v>2</v>
      </c>
      <c r="J698" s="830" t="s">
        <v>4794</v>
      </c>
      <c r="K698" s="830" t="s">
        <v>4794</v>
      </c>
      <c r="L698" s="831">
        <v>5</v>
      </c>
      <c r="M698" s="830" t="s">
        <v>4794</v>
      </c>
      <c r="N698" s="830" t="s">
        <v>4794</v>
      </c>
      <c r="O698" s="830" t="s">
        <v>4794</v>
      </c>
      <c r="P698" s="830" t="s">
        <v>4794</v>
      </c>
      <c r="Q698" s="832">
        <f t="shared" si="9"/>
        <v>12</v>
      </c>
      <c r="R698" s="833" t="s">
        <v>4025</v>
      </c>
      <c r="S698" s="836"/>
      <c r="T698" s="851"/>
      <c r="U698" s="851"/>
      <c r="V698" s="851"/>
      <c r="W698" s="851"/>
      <c r="X698" s="851"/>
      <c r="Y698" s="851"/>
      <c r="Z698" s="851"/>
      <c r="AA698" s="851"/>
      <c r="AB698" s="851"/>
      <c r="AC698" s="851"/>
      <c r="AD698" s="851"/>
      <c r="AE698" s="851"/>
      <c r="AF698" s="837"/>
    </row>
    <row r="699" spans="1:32" ht="21">
      <c r="A699" s="827">
        <v>670</v>
      </c>
      <c r="B699" s="828" t="s">
        <v>274</v>
      </c>
      <c r="C699" s="828" t="s">
        <v>1550</v>
      </c>
      <c r="D699" s="829" t="s">
        <v>1551</v>
      </c>
      <c r="E699" s="830" t="s">
        <v>4794</v>
      </c>
      <c r="F699" s="830" t="s">
        <v>4794</v>
      </c>
      <c r="G699" s="831">
        <v>5</v>
      </c>
      <c r="H699" s="830" t="s">
        <v>4794</v>
      </c>
      <c r="I699" s="830" t="s">
        <v>4794</v>
      </c>
      <c r="J699" s="830" t="s">
        <v>4794</v>
      </c>
      <c r="K699" s="830" t="s">
        <v>4794</v>
      </c>
      <c r="L699" s="831">
        <v>5</v>
      </c>
      <c r="M699" s="830" t="s">
        <v>4794</v>
      </c>
      <c r="N699" s="831">
        <v>2</v>
      </c>
      <c r="O699" s="830" t="s">
        <v>4794</v>
      </c>
      <c r="P699" s="830" t="s">
        <v>4794</v>
      </c>
      <c r="Q699" s="832">
        <f t="shared" si="9"/>
        <v>12</v>
      </c>
      <c r="R699" s="833" t="s">
        <v>4025</v>
      </c>
      <c r="S699" s="836"/>
      <c r="T699" s="851"/>
      <c r="U699" s="851"/>
      <c r="V699" s="851"/>
      <c r="W699" s="851"/>
      <c r="X699" s="851"/>
      <c r="Y699" s="851"/>
      <c r="Z699" s="851"/>
      <c r="AA699" s="851"/>
      <c r="AB699" s="851"/>
      <c r="AC699" s="851"/>
      <c r="AD699" s="851"/>
      <c r="AE699" s="851"/>
      <c r="AF699" s="837"/>
    </row>
    <row r="700" spans="1:32" ht="42">
      <c r="A700" s="827">
        <v>671</v>
      </c>
      <c r="B700" s="828" t="s">
        <v>274</v>
      </c>
      <c r="C700" s="828" t="s">
        <v>1552</v>
      </c>
      <c r="D700" s="829" t="s">
        <v>1553</v>
      </c>
      <c r="E700" s="830" t="s">
        <v>4794</v>
      </c>
      <c r="F700" s="830"/>
      <c r="G700" s="830"/>
      <c r="H700" s="830"/>
      <c r="I700" s="830" t="s">
        <v>4794</v>
      </c>
      <c r="J700" s="830" t="s">
        <v>4794</v>
      </c>
      <c r="K700" s="831">
        <v>1</v>
      </c>
      <c r="L700" s="830" t="s">
        <v>4794</v>
      </c>
      <c r="M700" s="830" t="s">
        <v>4794</v>
      </c>
      <c r="N700" s="830"/>
      <c r="O700" s="830" t="s">
        <v>4794</v>
      </c>
      <c r="P700" s="830" t="s">
        <v>4794</v>
      </c>
      <c r="Q700" s="832">
        <f t="shared" si="9"/>
        <v>1</v>
      </c>
      <c r="R700" s="833" t="s">
        <v>3367</v>
      </c>
      <c r="S700" s="836"/>
      <c r="T700" s="851"/>
      <c r="U700" s="851"/>
      <c r="V700" s="851"/>
      <c r="W700" s="851"/>
      <c r="X700" s="851"/>
      <c r="Y700" s="851"/>
      <c r="Z700" s="851"/>
      <c r="AA700" s="851"/>
      <c r="AB700" s="851"/>
      <c r="AC700" s="851"/>
      <c r="AD700" s="851"/>
      <c r="AE700" s="851"/>
      <c r="AF700" s="837"/>
    </row>
    <row r="701" spans="1:32" ht="31.5">
      <c r="A701" s="827">
        <v>672</v>
      </c>
      <c r="B701" s="828" t="s">
        <v>274</v>
      </c>
      <c r="C701" s="828" t="s">
        <v>1554</v>
      </c>
      <c r="D701" s="829" t="s">
        <v>1555</v>
      </c>
      <c r="E701" s="830" t="s">
        <v>4794</v>
      </c>
      <c r="F701" s="830" t="s">
        <v>4794</v>
      </c>
      <c r="G701" s="831">
        <v>3</v>
      </c>
      <c r="H701" s="830"/>
      <c r="I701" s="831">
        <v>3</v>
      </c>
      <c r="J701" s="831">
        <v>1</v>
      </c>
      <c r="K701" s="830" t="s">
        <v>4794</v>
      </c>
      <c r="L701" s="830" t="s">
        <v>4794</v>
      </c>
      <c r="M701" s="830" t="s">
        <v>4794</v>
      </c>
      <c r="N701" s="830" t="s">
        <v>4794</v>
      </c>
      <c r="O701" s="830" t="s">
        <v>4794</v>
      </c>
      <c r="P701" s="830" t="s">
        <v>4794</v>
      </c>
      <c r="Q701" s="832">
        <f t="shared" si="9"/>
        <v>7</v>
      </c>
      <c r="R701" s="833" t="s">
        <v>4025</v>
      </c>
      <c r="S701" s="836"/>
      <c r="T701" s="851"/>
      <c r="U701" s="851"/>
      <c r="V701" s="851"/>
      <c r="W701" s="851"/>
      <c r="X701" s="851"/>
      <c r="Y701" s="851"/>
      <c r="Z701" s="851"/>
      <c r="AA701" s="851"/>
      <c r="AB701" s="851"/>
      <c r="AC701" s="851"/>
      <c r="AD701" s="851"/>
      <c r="AE701" s="851"/>
      <c r="AF701" s="837"/>
    </row>
    <row r="702" spans="1:32" ht="31.5">
      <c r="A702" s="827">
        <v>673</v>
      </c>
      <c r="B702" s="828" t="s">
        <v>274</v>
      </c>
      <c r="C702" s="828" t="s">
        <v>1556</v>
      </c>
      <c r="D702" s="829" t="s">
        <v>1557</v>
      </c>
      <c r="E702" s="830" t="s">
        <v>4794</v>
      </c>
      <c r="F702" s="830"/>
      <c r="G702" s="830" t="s">
        <v>4794</v>
      </c>
      <c r="H702" s="831">
        <v>6</v>
      </c>
      <c r="I702" s="830" t="s">
        <v>4794</v>
      </c>
      <c r="J702" s="831">
        <v>6</v>
      </c>
      <c r="K702" s="830" t="s">
        <v>4794</v>
      </c>
      <c r="L702" s="830"/>
      <c r="M702" s="830" t="s">
        <v>4794</v>
      </c>
      <c r="N702" s="830"/>
      <c r="O702" s="830" t="s">
        <v>4794</v>
      </c>
      <c r="P702" s="830" t="s">
        <v>4794</v>
      </c>
      <c r="Q702" s="832">
        <f t="shared" si="9"/>
        <v>12</v>
      </c>
      <c r="R702" s="833" t="s">
        <v>4025</v>
      </c>
      <c r="S702" s="836"/>
      <c r="T702" s="851"/>
      <c r="U702" s="851"/>
      <c r="V702" s="851"/>
      <c r="W702" s="851"/>
      <c r="X702" s="851"/>
      <c r="Y702" s="851"/>
      <c r="Z702" s="851"/>
      <c r="AA702" s="851"/>
      <c r="AB702" s="851"/>
      <c r="AC702" s="851"/>
      <c r="AD702" s="851"/>
      <c r="AE702" s="851"/>
      <c r="AF702" s="837"/>
    </row>
    <row r="703" spans="1:32" ht="42">
      <c r="A703" s="827">
        <v>674</v>
      </c>
      <c r="B703" s="828" t="s">
        <v>274</v>
      </c>
      <c r="C703" s="828" t="s">
        <v>1558</v>
      </c>
      <c r="D703" s="829" t="s">
        <v>1559</v>
      </c>
      <c r="E703" s="830" t="s">
        <v>4794</v>
      </c>
      <c r="F703" s="831">
        <v>5</v>
      </c>
      <c r="G703" s="831">
        <v>1</v>
      </c>
      <c r="H703" s="830" t="s">
        <v>4794</v>
      </c>
      <c r="I703" s="830" t="s">
        <v>4794</v>
      </c>
      <c r="J703" s="830" t="s">
        <v>4794</v>
      </c>
      <c r="K703" s="831">
        <v>1</v>
      </c>
      <c r="L703" s="831">
        <v>2</v>
      </c>
      <c r="M703" s="830" t="s">
        <v>4794</v>
      </c>
      <c r="N703" s="831">
        <v>1</v>
      </c>
      <c r="O703" s="830" t="s">
        <v>4794</v>
      </c>
      <c r="P703" s="830" t="s">
        <v>4794</v>
      </c>
      <c r="Q703" s="832">
        <f t="shared" si="9"/>
        <v>10</v>
      </c>
      <c r="R703" s="833" t="s">
        <v>1560</v>
      </c>
      <c r="S703" s="836"/>
      <c r="T703" s="851"/>
      <c r="U703" s="851"/>
      <c r="V703" s="851"/>
      <c r="W703" s="851"/>
      <c r="X703" s="851"/>
      <c r="Y703" s="851"/>
      <c r="Z703" s="851"/>
      <c r="AA703" s="851"/>
      <c r="AB703" s="851"/>
      <c r="AC703" s="851"/>
      <c r="AD703" s="851"/>
      <c r="AE703" s="851"/>
      <c r="AF703" s="837"/>
    </row>
    <row r="704" spans="1:32" ht="42">
      <c r="A704" s="827">
        <v>675</v>
      </c>
      <c r="B704" s="828" t="s">
        <v>274</v>
      </c>
      <c r="C704" s="828" t="s">
        <v>1561</v>
      </c>
      <c r="D704" s="829" t="s">
        <v>1562</v>
      </c>
      <c r="E704" s="830" t="s">
        <v>4794</v>
      </c>
      <c r="F704" s="830"/>
      <c r="G704" s="831">
        <v>5</v>
      </c>
      <c r="H704" s="830"/>
      <c r="I704" s="831">
        <v>1</v>
      </c>
      <c r="J704" s="830" t="s">
        <v>4794</v>
      </c>
      <c r="K704" s="830" t="s">
        <v>4794</v>
      </c>
      <c r="L704" s="831">
        <v>5</v>
      </c>
      <c r="M704" s="831">
        <v>1</v>
      </c>
      <c r="N704" s="830" t="s">
        <v>4794</v>
      </c>
      <c r="O704" s="830" t="s">
        <v>4794</v>
      </c>
      <c r="P704" s="830" t="s">
        <v>4794</v>
      </c>
      <c r="Q704" s="832">
        <f t="shared" si="9"/>
        <v>12</v>
      </c>
      <c r="R704" s="833" t="s">
        <v>3367</v>
      </c>
      <c r="S704" s="836"/>
      <c r="T704" s="851"/>
      <c r="U704" s="851"/>
      <c r="V704" s="851"/>
      <c r="W704" s="851"/>
      <c r="X704" s="851"/>
      <c r="Y704" s="851"/>
      <c r="Z704" s="851"/>
      <c r="AA704" s="851"/>
      <c r="AB704" s="851"/>
      <c r="AC704" s="851"/>
      <c r="AD704" s="851"/>
      <c r="AE704" s="851"/>
      <c r="AF704" s="837"/>
    </row>
    <row r="705" spans="1:32" ht="42">
      <c r="A705" s="827">
        <v>676</v>
      </c>
      <c r="B705" s="828" t="s">
        <v>274</v>
      </c>
      <c r="C705" s="828" t="s">
        <v>1563</v>
      </c>
      <c r="D705" s="829" t="s">
        <v>1564</v>
      </c>
      <c r="E705" s="830" t="s">
        <v>4794</v>
      </c>
      <c r="F705" s="830" t="s">
        <v>4794</v>
      </c>
      <c r="G705" s="831">
        <v>5</v>
      </c>
      <c r="H705" s="831">
        <v>5</v>
      </c>
      <c r="I705" s="831">
        <v>5</v>
      </c>
      <c r="J705" s="831">
        <v>5</v>
      </c>
      <c r="K705" s="831">
        <v>5</v>
      </c>
      <c r="L705" s="830" t="s">
        <v>4794</v>
      </c>
      <c r="M705" s="830" t="s">
        <v>4794</v>
      </c>
      <c r="N705" s="830" t="s">
        <v>4794</v>
      </c>
      <c r="O705" s="830" t="s">
        <v>4794</v>
      </c>
      <c r="P705" s="831">
        <v>1</v>
      </c>
      <c r="Q705" s="832">
        <f t="shared" si="9"/>
        <v>26</v>
      </c>
      <c r="R705" s="833" t="s">
        <v>3367</v>
      </c>
      <c r="S705" s="836"/>
      <c r="T705" s="851"/>
      <c r="U705" s="851"/>
      <c r="V705" s="851"/>
      <c r="W705" s="851"/>
      <c r="X705" s="851"/>
      <c r="Y705" s="851"/>
      <c r="Z705" s="851"/>
      <c r="AA705" s="851"/>
      <c r="AB705" s="851"/>
      <c r="AC705" s="851"/>
      <c r="AD705" s="851"/>
      <c r="AE705" s="851"/>
      <c r="AF705" s="837"/>
    </row>
    <row r="706" spans="1:32" ht="42">
      <c r="A706" s="827">
        <v>677</v>
      </c>
      <c r="B706" s="828" t="s">
        <v>274</v>
      </c>
      <c r="C706" s="828" t="s">
        <v>1565</v>
      </c>
      <c r="D706" s="829" t="s">
        <v>1566</v>
      </c>
      <c r="E706" s="830"/>
      <c r="F706" s="830"/>
      <c r="G706" s="830"/>
      <c r="H706" s="831">
        <v>1</v>
      </c>
      <c r="I706" s="830" t="s">
        <v>4794</v>
      </c>
      <c r="J706" s="830" t="s">
        <v>4794</v>
      </c>
      <c r="K706" s="831">
        <v>5</v>
      </c>
      <c r="L706" s="830" t="s">
        <v>4794</v>
      </c>
      <c r="M706" s="831">
        <v>5</v>
      </c>
      <c r="N706" s="830" t="s">
        <v>4794</v>
      </c>
      <c r="O706" s="830" t="s">
        <v>4794</v>
      </c>
      <c r="P706" s="830" t="s">
        <v>4794</v>
      </c>
      <c r="Q706" s="832">
        <f t="shared" si="9"/>
        <v>11</v>
      </c>
      <c r="R706" s="833" t="s">
        <v>3367</v>
      </c>
      <c r="S706" s="836"/>
      <c r="T706" s="851"/>
      <c r="U706" s="851"/>
      <c r="V706" s="851"/>
      <c r="W706" s="851"/>
      <c r="X706" s="851"/>
      <c r="Y706" s="851"/>
      <c r="Z706" s="851"/>
      <c r="AA706" s="851"/>
      <c r="AB706" s="851"/>
      <c r="AC706" s="851"/>
      <c r="AD706" s="851"/>
      <c r="AE706" s="851"/>
      <c r="AF706" s="837"/>
    </row>
    <row r="707" spans="1:32" ht="42">
      <c r="A707" s="827">
        <v>678</v>
      </c>
      <c r="B707" s="828" t="s">
        <v>274</v>
      </c>
      <c r="C707" s="828" t="s">
        <v>1567</v>
      </c>
      <c r="D707" s="829" t="s">
        <v>1568</v>
      </c>
      <c r="E707" s="830" t="s">
        <v>4794</v>
      </c>
      <c r="F707" s="830" t="s">
        <v>4794</v>
      </c>
      <c r="G707" s="830" t="s">
        <v>4794</v>
      </c>
      <c r="H707" s="830" t="s">
        <v>4794</v>
      </c>
      <c r="I707" s="831">
        <v>5</v>
      </c>
      <c r="J707" s="830" t="s">
        <v>4794</v>
      </c>
      <c r="K707" s="831">
        <v>5</v>
      </c>
      <c r="L707" s="830" t="s">
        <v>4794</v>
      </c>
      <c r="M707" s="831">
        <v>5</v>
      </c>
      <c r="N707" s="830" t="s">
        <v>4794</v>
      </c>
      <c r="O707" s="830" t="s">
        <v>4794</v>
      </c>
      <c r="P707" s="830" t="s">
        <v>4794</v>
      </c>
      <c r="Q707" s="832">
        <f t="shared" si="9"/>
        <v>15</v>
      </c>
      <c r="R707" s="833" t="s">
        <v>3367</v>
      </c>
      <c r="S707" s="836"/>
      <c r="T707" s="851"/>
      <c r="U707" s="851"/>
      <c r="V707" s="851"/>
      <c r="W707" s="851"/>
      <c r="X707" s="851"/>
      <c r="Y707" s="851"/>
      <c r="Z707" s="851"/>
      <c r="AA707" s="851"/>
      <c r="AB707" s="851"/>
      <c r="AC707" s="851"/>
      <c r="AD707" s="851"/>
      <c r="AE707" s="851"/>
      <c r="AF707" s="837"/>
    </row>
    <row r="708" spans="1:32" ht="42">
      <c r="A708" s="827">
        <v>679</v>
      </c>
      <c r="B708" s="828" t="s">
        <v>274</v>
      </c>
      <c r="C708" s="828" t="s">
        <v>1569</v>
      </c>
      <c r="D708" s="829" t="s">
        <v>1570</v>
      </c>
      <c r="E708" s="830" t="s">
        <v>4794</v>
      </c>
      <c r="F708" s="830"/>
      <c r="G708" s="830" t="s">
        <v>4794</v>
      </c>
      <c r="H708" s="831">
        <v>2</v>
      </c>
      <c r="I708" s="830" t="s">
        <v>4794</v>
      </c>
      <c r="J708" s="830" t="s">
        <v>4794</v>
      </c>
      <c r="K708" s="830" t="s">
        <v>4794</v>
      </c>
      <c r="L708" s="830" t="s">
        <v>4794</v>
      </c>
      <c r="M708" s="830" t="s">
        <v>4794</v>
      </c>
      <c r="N708" s="830" t="s">
        <v>4794</v>
      </c>
      <c r="O708" s="830" t="s">
        <v>4794</v>
      </c>
      <c r="P708" s="830" t="s">
        <v>4794</v>
      </c>
      <c r="Q708" s="832">
        <f t="shared" si="9"/>
        <v>2</v>
      </c>
      <c r="R708" s="833" t="s">
        <v>4025</v>
      </c>
      <c r="S708" s="836"/>
      <c r="T708" s="851"/>
      <c r="U708" s="851"/>
      <c r="V708" s="851"/>
      <c r="W708" s="851"/>
      <c r="X708" s="851"/>
      <c r="Y708" s="851"/>
      <c r="Z708" s="851"/>
      <c r="AA708" s="851"/>
      <c r="AB708" s="851"/>
      <c r="AC708" s="851"/>
      <c r="AD708" s="851"/>
      <c r="AE708" s="851"/>
      <c r="AF708" s="837"/>
    </row>
    <row r="709" spans="1:32" ht="73.5">
      <c r="A709" s="827">
        <v>680</v>
      </c>
      <c r="B709" s="828" t="s">
        <v>274</v>
      </c>
      <c r="C709" s="828" t="s">
        <v>1571</v>
      </c>
      <c r="D709" s="829" t="s">
        <v>1572</v>
      </c>
      <c r="E709" s="830"/>
      <c r="F709" s="830"/>
      <c r="G709" s="830"/>
      <c r="H709" s="831">
        <v>1</v>
      </c>
      <c r="I709" s="830"/>
      <c r="J709" s="830"/>
      <c r="K709" s="830"/>
      <c r="L709" s="830"/>
      <c r="M709" s="830"/>
      <c r="N709" s="830"/>
      <c r="O709" s="830"/>
      <c r="P709" s="831">
        <v>1</v>
      </c>
      <c r="Q709" s="832">
        <f t="shared" si="9"/>
        <v>2</v>
      </c>
      <c r="R709" s="833" t="s">
        <v>4025</v>
      </c>
      <c r="S709" s="836"/>
      <c r="T709" s="851"/>
      <c r="U709" s="851"/>
      <c r="V709" s="851"/>
      <c r="W709" s="851"/>
      <c r="X709" s="851"/>
      <c r="Y709" s="851"/>
      <c r="Z709" s="851"/>
      <c r="AA709" s="851"/>
      <c r="AB709" s="851"/>
      <c r="AC709" s="851"/>
      <c r="AD709" s="851"/>
      <c r="AE709" s="851"/>
      <c r="AF709" s="837"/>
    </row>
    <row r="710" spans="1:32" ht="42">
      <c r="A710" s="827">
        <v>681</v>
      </c>
      <c r="B710" s="828" t="s">
        <v>274</v>
      </c>
      <c r="C710" s="828" t="s">
        <v>1573</v>
      </c>
      <c r="D710" s="829" t="s">
        <v>1574</v>
      </c>
      <c r="E710" s="830" t="s">
        <v>4794</v>
      </c>
      <c r="F710" s="831">
        <v>10</v>
      </c>
      <c r="G710" s="830" t="s">
        <v>4794</v>
      </c>
      <c r="H710" s="830" t="s">
        <v>4794</v>
      </c>
      <c r="I710" s="830" t="s">
        <v>4794</v>
      </c>
      <c r="J710" s="830" t="s">
        <v>4794</v>
      </c>
      <c r="K710" s="830" t="s">
        <v>4794</v>
      </c>
      <c r="L710" s="831">
        <v>1</v>
      </c>
      <c r="M710" s="830" t="s">
        <v>4794</v>
      </c>
      <c r="N710" s="831">
        <v>5</v>
      </c>
      <c r="O710" s="830" t="s">
        <v>4794</v>
      </c>
      <c r="P710" s="830" t="s">
        <v>4794</v>
      </c>
      <c r="Q710" s="832">
        <f t="shared" si="9"/>
        <v>16</v>
      </c>
      <c r="R710" s="833" t="s">
        <v>4025</v>
      </c>
      <c r="S710" s="836"/>
      <c r="T710" s="851"/>
      <c r="U710" s="851"/>
      <c r="V710" s="851"/>
      <c r="W710" s="851"/>
      <c r="X710" s="851"/>
      <c r="Y710" s="851"/>
      <c r="Z710" s="851"/>
      <c r="AA710" s="851"/>
      <c r="AB710" s="851"/>
      <c r="AC710" s="851"/>
      <c r="AD710" s="851"/>
      <c r="AE710" s="851"/>
      <c r="AF710" s="837"/>
    </row>
    <row r="711" spans="1:32" ht="63">
      <c r="A711" s="827">
        <v>682</v>
      </c>
      <c r="B711" s="828" t="s">
        <v>274</v>
      </c>
      <c r="C711" s="828" t="s">
        <v>1575</v>
      </c>
      <c r="D711" s="829" t="s">
        <v>1576</v>
      </c>
      <c r="E711" s="830" t="s">
        <v>4794</v>
      </c>
      <c r="F711" s="831">
        <v>10</v>
      </c>
      <c r="G711" s="830" t="s">
        <v>4794</v>
      </c>
      <c r="H711" s="830" t="s">
        <v>4794</v>
      </c>
      <c r="I711" s="830" t="s">
        <v>4794</v>
      </c>
      <c r="J711" s="831">
        <v>1</v>
      </c>
      <c r="K711" s="830" t="s">
        <v>4794</v>
      </c>
      <c r="L711" s="830" t="s">
        <v>4794</v>
      </c>
      <c r="M711" s="830" t="s">
        <v>4794</v>
      </c>
      <c r="N711" s="831">
        <v>5</v>
      </c>
      <c r="O711" s="830" t="s">
        <v>4794</v>
      </c>
      <c r="P711" s="830" t="s">
        <v>4794</v>
      </c>
      <c r="Q711" s="832">
        <f t="shared" si="9"/>
        <v>16</v>
      </c>
      <c r="R711" s="833" t="s">
        <v>4025</v>
      </c>
      <c r="S711" s="836"/>
      <c r="T711" s="893"/>
      <c r="U711" s="893"/>
      <c r="V711" s="893"/>
      <c r="W711" s="893"/>
      <c r="X711" s="893"/>
      <c r="Y711" s="893"/>
      <c r="Z711" s="893"/>
      <c r="AA711" s="893"/>
      <c r="AB711" s="893"/>
      <c r="AC711" s="893"/>
      <c r="AD711" s="893"/>
      <c r="AE711" s="893"/>
      <c r="AF711" s="837"/>
    </row>
    <row r="712" spans="1:32" ht="42">
      <c r="A712" s="827">
        <v>683</v>
      </c>
      <c r="B712" s="828" t="s">
        <v>274</v>
      </c>
      <c r="C712" s="828" t="s">
        <v>1577</v>
      </c>
      <c r="D712" s="829" t="s">
        <v>1578</v>
      </c>
      <c r="E712" s="830" t="s">
        <v>4794</v>
      </c>
      <c r="F712" s="831">
        <v>10</v>
      </c>
      <c r="G712" s="830" t="s">
        <v>4794</v>
      </c>
      <c r="H712" s="830" t="s">
        <v>4794</v>
      </c>
      <c r="I712" s="831">
        <v>1</v>
      </c>
      <c r="J712" s="831">
        <v>1</v>
      </c>
      <c r="K712" s="831">
        <v>10</v>
      </c>
      <c r="L712" s="831">
        <v>1</v>
      </c>
      <c r="M712" s="830" t="s">
        <v>4794</v>
      </c>
      <c r="N712" s="831">
        <v>5</v>
      </c>
      <c r="O712" s="830" t="s">
        <v>4794</v>
      </c>
      <c r="P712" s="830" t="s">
        <v>4794</v>
      </c>
      <c r="Q712" s="832">
        <f t="shared" si="9"/>
        <v>28</v>
      </c>
      <c r="R712" s="833" t="s">
        <v>1560</v>
      </c>
      <c r="S712" s="836"/>
      <c r="T712" s="851"/>
      <c r="U712" s="851"/>
      <c r="V712" s="851"/>
      <c r="W712" s="851"/>
      <c r="X712" s="851"/>
      <c r="Y712" s="851"/>
      <c r="Z712" s="851"/>
      <c r="AA712" s="851"/>
      <c r="AB712" s="851"/>
      <c r="AC712" s="851"/>
      <c r="AD712" s="851"/>
      <c r="AE712" s="851"/>
      <c r="AF712" s="837"/>
    </row>
    <row r="713" spans="1:32" ht="31.5">
      <c r="A713" s="827">
        <v>684</v>
      </c>
      <c r="B713" s="828" t="s">
        <v>274</v>
      </c>
      <c r="C713" s="828" t="s">
        <v>1579</v>
      </c>
      <c r="D713" s="829" t="s">
        <v>1580</v>
      </c>
      <c r="E713" s="830"/>
      <c r="F713" s="830" t="s">
        <v>4794</v>
      </c>
      <c r="G713" s="831">
        <v>10</v>
      </c>
      <c r="H713" s="830" t="s">
        <v>4794</v>
      </c>
      <c r="I713" s="831">
        <v>1</v>
      </c>
      <c r="J713" s="830" t="s">
        <v>4794</v>
      </c>
      <c r="K713" s="830"/>
      <c r="L713" s="830" t="s">
        <v>4794</v>
      </c>
      <c r="M713" s="830" t="s">
        <v>4794</v>
      </c>
      <c r="N713" s="831">
        <v>5</v>
      </c>
      <c r="O713" s="830" t="s">
        <v>4794</v>
      </c>
      <c r="P713" s="830" t="s">
        <v>4794</v>
      </c>
      <c r="Q713" s="832">
        <f t="shared" si="9"/>
        <v>16</v>
      </c>
      <c r="R713" s="833" t="s">
        <v>4025</v>
      </c>
      <c r="S713" s="836"/>
      <c r="T713" s="851"/>
      <c r="U713" s="851"/>
      <c r="V713" s="851"/>
      <c r="W713" s="851"/>
      <c r="X713" s="851"/>
      <c r="Y713" s="851"/>
      <c r="Z713" s="851"/>
      <c r="AA713" s="851"/>
      <c r="AB713" s="851"/>
      <c r="AC713" s="851"/>
      <c r="AD713" s="851"/>
      <c r="AE713" s="851"/>
      <c r="AF713" s="837"/>
    </row>
    <row r="714" spans="1:32" ht="42">
      <c r="A714" s="827">
        <v>685</v>
      </c>
      <c r="B714" s="828" t="s">
        <v>274</v>
      </c>
      <c r="C714" s="828" t="s">
        <v>1581</v>
      </c>
      <c r="D714" s="829" t="s">
        <v>1582</v>
      </c>
      <c r="E714" s="830" t="s">
        <v>4794</v>
      </c>
      <c r="F714" s="830" t="s">
        <v>4794</v>
      </c>
      <c r="G714" s="831">
        <v>10</v>
      </c>
      <c r="H714" s="830" t="s">
        <v>4794</v>
      </c>
      <c r="I714" s="830" t="s">
        <v>4794</v>
      </c>
      <c r="J714" s="830" t="s">
        <v>4794</v>
      </c>
      <c r="K714" s="830" t="s">
        <v>4794</v>
      </c>
      <c r="L714" s="830" t="s">
        <v>4794</v>
      </c>
      <c r="M714" s="830" t="s">
        <v>4794</v>
      </c>
      <c r="N714" s="830" t="s">
        <v>4794</v>
      </c>
      <c r="O714" s="830" t="s">
        <v>4794</v>
      </c>
      <c r="P714" s="830" t="s">
        <v>4794</v>
      </c>
      <c r="Q714" s="832">
        <f t="shared" si="9"/>
        <v>10</v>
      </c>
      <c r="R714" s="833" t="s">
        <v>3367</v>
      </c>
      <c r="S714" s="836"/>
      <c r="T714" s="851"/>
      <c r="U714" s="851"/>
      <c r="V714" s="851"/>
      <c r="W714" s="851"/>
      <c r="X714" s="851"/>
      <c r="Y714" s="851"/>
      <c r="Z714" s="851"/>
      <c r="AA714" s="851"/>
      <c r="AB714" s="851"/>
      <c r="AC714" s="851"/>
      <c r="AD714" s="851"/>
      <c r="AE714" s="851"/>
      <c r="AF714" s="837"/>
    </row>
    <row r="715" spans="1:32" ht="42">
      <c r="A715" s="827">
        <v>686</v>
      </c>
      <c r="B715" s="828" t="s">
        <v>274</v>
      </c>
      <c r="C715" s="828" t="s">
        <v>1583</v>
      </c>
      <c r="D715" s="829" t="s">
        <v>1584</v>
      </c>
      <c r="E715" s="830" t="s">
        <v>4794</v>
      </c>
      <c r="F715" s="830" t="s">
        <v>4794</v>
      </c>
      <c r="G715" s="831">
        <v>10</v>
      </c>
      <c r="H715" s="831">
        <v>10</v>
      </c>
      <c r="I715" s="831">
        <v>12</v>
      </c>
      <c r="J715" s="830" t="s">
        <v>4794</v>
      </c>
      <c r="K715" s="830" t="s">
        <v>4794</v>
      </c>
      <c r="L715" s="830" t="s">
        <v>4794</v>
      </c>
      <c r="M715" s="830" t="s">
        <v>4794</v>
      </c>
      <c r="N715" s="830" t="s">
        <v>4794</v>
      </c>
      <c r="O715" s="830" t="s">
        <v>4794</v>
      </c>
      <c r="P715" s="830" t="s">
        <v>4794</v>
      </c>
      <c r="Q715" s="832">
        <f t="shared" si="9"/>
        <v>32</v>
      </c>
      <c r="R715" s="833" t="s">
        <v>3367</v>
      </c>
      <c r="S715" s="836"/>
      <c r="T715" s="893"/>
      <c r="U715" s="893"/>
      <c r="V715" s="893"/>
      <c r="W715" s="893"/>
      <c r="X715" s="893"/>
      <c r="Y715" s="893"/>
      <c r="Z715" s="893"/>
      <c r="AA715" s="893"/>
      <c r="AB715" s="893"/>
      <c r="AC715" s="893"/>
      <c r="AD715" s="893"/>
      <c r="AE715" s="893"/>
      <c r="AF715" s="837"/>
    </row>
    <row r="716" spans="1:32" ht="63">
      <c r="A716" s="827">
        <v>687</v>
      </c>
      <c r="B716" s="828" t="s">
        <v>274</v>
      </c>
      <c r="C716" s="828" t="s">
        <v>1585</v>
      </c>
      <c r="D716" s="829" t="s">
        <v>1586</v>
      </c>
      <c r="E716" s="830"/>
      <c r="F716" s="830" t="s">
        <v>4794</v>
      </c>
      <c r="G716" s="830" t="s">
        <v>4794</v>
      </c>
      <c r="H716" s="831">
        <v>10</v>
      </c>
      <c r="I716" s="830" t="s">
        <v>4794</v>
      </c>
      <c r="J716" s="830" t="s">
        <v>4794</v>
      </c>
      <c r="K716" s="830" t="s">
        <v>4794</v>
      </c>
      <c r="L716" s="830" t="s">
        <v>4794</v>
      </c>
      <c r="M716" s="830" t="s">
        <v>4794</v>
      </c>
      <c r="N716" s="830" t="s">
        <v>4794</v>
      </c>
      <c r="O716" s="830" t="s">
        <v>4794</v>
      </c>
      <c r="P716" s="830" t="s">
        <v>4794</v>
      </c>
      <c r="Q716" s="832">
        <f t="shared" si="9"/>
        <v>10</v>
      </c>
      <c r="R716" s="833" t="s">
        <v>4025</v>
      </c>
      <c r="S716" s="836"/>
      <c r="T716" s="851"/>
      <c r="U716" s="851"/>
      <c r="V716" s="851"/>
      <c r="W716" s="851"/>
      <c r="X716" s="851"/>
      <c r="Y716" s="851"/>
      <c r="Z716" s="851"/>
      <c r="AA716" s="851"/>
      <c r="AB716" s="851"/>
      <c r="AC716" s="851"/>
      <c r="AD716" s="851"/>
      <c r="AE716" s="851"/>
      <c r="AF716" s="837"/>
    </row>
    <row r="717" spans="1:32" ht="42">
      <c r="A717" s="827">
        <v>688</v>
      </c>
      <c r="B717" s="828" t="s">
        <v>274</v>
      </c>
      <c r="C717" s="828" t="s">
        <v>1587</v>
      </c>
      <c r="D717" s="829" t="s">
        <v>2532</v>
      </c>
      <c r="E717" s="830" t="s">
        <v>4794</v>
      </c>
      <c r="F717" s="831">
        <v>10</v>
      </c>
      <c r="G717" s="830" t="s">
        <v>4794</v>
      </c>
      <c r="H717" s="831">
        <v>10</v>
      </c>
      <c r="I717" s="830" t="s">
        <v>4794</v>
      </c>
      <c r="J717" s="830" t="s">
        <v>4794</v>
      </c>
      <c r="K717" s="830"/>
      <c r="L717" s="830" t="s">
        <v>4794</v>
      </c>
      <c r="M717" s="830" t="s">
        <v>4794</v>
      </c>
      <c r="N717" s="830" t="s">
        <v>4794</v>
      </c>
      <c r="O717" s="830" t="s">
        <v>4794</v>
      </c>
      <c r="P717" s="830" t="s">
        <v>4794</v>
      </c>
      <c r="Q717" s="832">
        <f t="shared" si="9"/>
        <v>20</v>
      </c>
      <c r="R717" s="833" t="s">
        <v>4025</v>
      </c>
      <c r="S717" s="836"/>
      <c r="T717" s="851"/>
      <c r="U717" s="851"/>
      <c r="V717" s="851"/>
      <c r="W717" s="851"/>
      <c r="X717" s="851"/>
      <c r="Y717" s="851"/>
      <c r="Z717" s="851"/>
      <c r="AA717" s="851"/>
      <c r="AB717" s="851"/>
      <c r="AC717" s="851"/>
      <c r="AD717" s="851"/>
      <c r="AE717" s="851"/>
      <c r="AF717" s="837"/>
    </row>
    <row r="718" spans="1:32" ht="42">
      <c r="A718" s="827">
        <v>689</v>
      </c>
      <c r="B718" s="828" t="s">
        <v>274</v>
      </c>
      <c r="C718" s="828" t="s">
        <v>2533</v>
      </c>
      <c r="D718" s="829" t="s">
        <v>2534</v>
      </c>
      <c r="E718" s="830" t="s">
        <v>4794</v>
      </c>
      <c r="F718" s="831">
        <v>10</v>
      </c>
      <c r="G718" s="830" t="s">
        <v>4794</v>
      </c>
      <c r="H718" s="830"/>
      <c r="I718" s="830"/>
      <c r="J718" s="831">
        <v>10</v>
      </c>
      <c r="K718" s="831">
        <v>10</v>
      </c>
      <c r="L718" s="830"/>
      <c r="M718" s="830" t="s">
        <v>4794</v>
      </c>
      <c r="N718" s="830" t="s">
        <v>4794</v>
      </c>
      <c r="O718" s="830" t="s">
        <v>4794</v>
      </c>
      <c r="P718" s="830" t="s">
        <v>4794</v>
      </c>
      <c r="Q718" s="832">
        <f t="shared" si="9"/>
        <v>30</v>
      </c>
      <c r="R718" s="833" t="s">
        <v>4025</v>
      </c>
      <c r="S718" s="836"/>
      <c r="T718" s="851"/>
      <c r="U718" s="851"/>
      <c r="V718" s="851"/>
      <c r="W718" s="851"/>
      <c r="X718" s="851"/>
      <c r="Y718" s="851"/>
      <c r="Z718" s="851"/>
      <c r="AA718" s="851"/>
      <c r="AB718" s="851"/>
      <c r="AC718" s="851"/>
      <c r="AD718" s="851"/>
      <c r="AE718" s="851"/>
      <c r="AF718" s="837"/>
    </row>
    <row r="719" spans="1:32" ht="42">
      <c r="A719" s="827">
        <v>690</v>
      </c>
      <c r="B719" s="828" t="s">
        <v>274</v>
      </c>
      <c r="C719" s="828" t="s">
        <v>2535</v>
      </c>
      <c r="D719" s="829" t="s">
        <v>2536</v>
      </c>
      <c r="E719" s="830" t="s">
        <v>4794</v>
      </c>
      <c r="F719" s="831">
        <v>10</v>
      </c>
      <c r="G719" s="830" t="s">
        <v>4794</v>
      </c>
      <c r="H719" s="830" t="s">
        <v>4794</v>
      </c>
      <c r="I719" s="831">
        <v>10</v>
      </c>
      <c r="J719" s="830" t="s">
        <v>4794</v>
      </c>
      <c r="K719" s="830" t="s">
        <v>4794</v>
      </c>
      <c r="L719" s="830" t="s">
        <v>4794</v>
      </c>
      <c r="M719" s="830" t="s">
        <v>4794</v>
      </c>
      <c r="N719" s="830" t="s">
        <v>4794</v>
      </c>
      <c r="O719" s="830" t="s">
        <v>4794</v>
      </c>
      <c r="P719" s="830" t="s">
        <v>4794</v>
      </c>
      <c r="Q719" s="832">
        <f t="shared" si="9"/>
        <v>20</v>
      </c>
      <c r="R719" s="833" t="s">
        <v>4025</v>
      </c>
      <c r="S719" s="836"/>
      <c r="T719" s="851"/>
      <c r="U719" s="851"/>
      <c r="V719" s="851"/>
      <c r="W719" s="851"/>
      <c r="X719" s="851"/>
      <c r="Y719" s="851"/>
      <c r="Z719" s="851"/>
      <c r="AA719" s="851"/>
      <c r="AB719" s="851"/>
      <c r="AC719" s="851"/>
      <c r="AD719" s="851"/>
      <c r="AE719" s="851"/>
      <c r="AF719" s="837"/>
    </row>
    <row r="720" spans="1:32" ht="42">
      <c r="A720" s="827">
        <v>691</v>
      </c>
      <c r="B720" s="828" t="s">
        <v>274</v>
      </c>
      <c r="C720" s="828" t="s">
        <v>2537</v>
      </c>
      <c r="D720" s="829" t="s">
        <v>4523</v>
      </c>
      <c r="E720" s="830" t="s">
        <v>4794</v>
      </c>
      <c r="F720" s="831">
        <v>10</v>
      </c>
      <c r="G720" s="830" t="s">
        <v>4794</v>
      </c>
      <c r="H720" s="830" t="s">
        <v>4794</v>
      </c>
      <c r="I720" s="830" t="s">
        <v>4794</v>
      </c>
      <c r="J720" s="830" t="s">
        <v>4794</v>
      </c>
      <c r="K720" s="830" t="s">
        <v>4794</v>
      </c>
      <c r="L720" s="830" t="s">
        <v>4794</v>
      </c>
      <c r="M720" s="831">
        <v>10</v>
      </c>
      <c r="N720" s="830" t="s">
        <v>4794</v>
      </c>
      <c r="O720" s="830" t="s">
        <v>4794</v>
      </c>
      <c r="P720" s="830" t="s">
        <v>4794</v>
      </c>
      <c r="Q720" s="832">
        <f t="shared" si="9"/>
        <v>20</v>
      </c>
      <c r="R720" s="833" t="s">
        <v>4025</v>
      </c>
      <c r="S720" s="836"/>
      <c r="T720" s="851"/>
      <c r="U720" s="851"/>
      <c r="V720" s="851"/>
      <c r="W720" s="851"/>
      <c r="X720" s="851"/>
      <c r="Y720" s="851"/>
      <c r="Z720" s="851"/>
      <c r="AA720" s="851"/>
      <c r="AB720" s="851"/>
      <c r="AC720" s="851"/>
      <c r="AD720" s="851"/>
      <c r="AE720" s="851"/>
      <c r="AF720" s="837"/>
    </row>
    <row r="721" spans="1:32" ht="42">
      <c r="A721" s="827">
        <v>692</v>
      </c>
      <c r="B721" s="828" t="s">
        <v>274</v>
      </c>
      <c r="C721" s="828" t="s">
        <v>4524</v>
      </c>
      <c r="D721" s="829" t="s">
        <v>4525</v>
      </c>
      <c r="E721" s="830" t="s">
        <v>4794</v>
      </c>
      <c r="F721" s="831">
        <v>10</v>
      </c>
      <c r="G721" s="830" t="s">
        <v>4794</v>
      </c>
      <c r="H721" s="830" t="s">
        <v>4794</v>
      </c>
      <c r="I721" s="830" t="s">
        <v>4794</v>
      </c>
      <c r="J721" s="830" t="s">
        <v>4794</v>
      </c>
      <c r="K721" s="831">
        <v>10</v>
      </c>
      <c r="L721" s="830" t="s">
        <v>4794</v>
      </c>
      <c r="M721" s="830" t="s">
        <v>4794</v>
      </c>
      <c r="N721" s="830" t="s">
        <v>4794</v>
      </c>
      <c r="O721" s="830" t="s">
        <v>4794</v>
      </c>
      <c r="P721" s="830" t="s">
        <v>4794</v>
      </c>
      <c r="Q721" s="832">
        <f t="shared" si="9"/>
        <v>20</v>
      </c>
      <c r="R721" s="833" t="s">
        <v>4025</v>
      </c>
      <c r="S721" s="836"/>
      <c r="T721" s="893"/>
      <c r="U721" s="893"/>
      <c r="V721" s="893"/>
      <c r="W721" s="893"/>
      <c r="X721" s="893"/>
      <c r="Y721" s="893"/>
      <c r="Z721" s="893"/>
      <c r="AA721" s="893"/>
      <c r="AB721" s="893"/>
      <c r="AC721" s="893"/>
      <c r="AD721" s="893"/>
      <c r="AE721" s="893"/>
      <c r="AF721" s="837"/>
    </row>
    <row r="722" spans="1:32" ht="52.5">
      <c r="A722" s="827">
        <v>693</v>
      </c>
      <c r="B722" s="828" t="s">
        <v>274</v>
      </c>
      <c r="C722" s="828" t="s">
        <v>4526</v>
      </c>
      <c r="D722" s="829" t="s">
        <v>4527</v>
      </c>
      <c r="E722" s="830" t="s">
        <v>4794</v>
      </c>
      <c r="F722" s="830" t="s">
        <v>4794</v>
      </c>
      <c r="G722" s="831">
        <v>10</v>
      </c>
      <c r="H722" s="830" t="s">
        <v>4794</v>
      </c>
      <c r="I722" s="831">
        <v>10</v>
      </c>
      <c r="J722" s="830" t="s">
        <v>4794</v>
      </c>
      <c r="K722" s="830" t="s">
        <v>4794</v>
      </c>
      <c r="L722" s="830" t="s">
        <v>4794</v>
      </c>
      <c r="M722" s="830" t="s">
        <v>4794</v>
      </c>
      <c r="N722" s="830" t="s">
        <v>4794</v>
      </c>
      <c r="O722" s="830" t="s">
        <v>4794</v>
      </c>
      <c r="P722" s="830" t="s">
        <v>4794</v>
      </c>
      <c r="Q722" s="832">
        <f t="shared" si="9"/>
        <v>20</v>
      </c>
      <c r="R722" s="833" t="s">
        <v>4025</v>
      </c>
      <c r="S722" s="836"/>
      <c r="T722" s="892"/>
      <c r="U722" s="892"/>
      <c r="V722" s="892"/>
      <c r="W722" s="892"/>
      <c r="X722" s="892"/>
      <c r="Y722" s="892"/>
      <c r="Z722" s="892"/>
      <c r="AA722" s="892"/>
      <c r="AB722" s="892"/>
      <c r="AC722" s="892"/>
      <c r="AD722" s="892"/>
      <c r="AE722" s="892"/>
      <c r="AF722" s="837"/>
    </row>
    <row r="723" spans="1:32" ht="31.5">
      <c r="A723" s="827">
        <v>694</v>
      </c>
      <c r="B723" s="828" t="s">
        <v>274</v>
      </c>
      <c r="C723" s="828" t="s">
        <v>4528</v>
      </c>
      <c r="D723" s="829" t="s">
        <v>4529</v>
      </c>
      <c r="E723" s="831">
        <v>10</v>
      </c>
      <c r="F723" s="830" t="s">
        <v>4794</v>
      </c>
      <c r="G723" s="830" t="s">
        <v>4794</v>
      </c>
      <c r="H723" s="830" t="s">
        <v>4794</v>
      </c>
      <c r="I723" s="830" t="s">
        <v>4794</v>
      </c>
      <c r="J723" s="831">
        <v>10</v>
      </c>
      <c r="K723" s="830" t="s">
        <v>4794</v>
      </c>
      <c r="L723" s="831">
        <v>10</v>
      </c>
      <c r="M723" s="830" t="s">
        <v>4794</v>
      </c>
      <c r="N723" s="830" t="s">
        <v>4794</v>
      </c>
      <c r="O723" s="830" t="s">
        <v>4794</v>
      </c>
      <c r="P723" s="830" t="s">
        <v>4794</v>
      </c>
      <c r="Q723" s="832">
        <f t="shared" ref="Q723:Q786" si="10">SUM(E723:P723)</f>
        <v>30</v>
      </c>
      <c r="R723" s="833" t="s">
        <v>4025</v>
      </c>
      <c r="S723" s="836"/>
      <c r="T723" s="892"/>
      <c r="U723" s="892"/>
      <c r="V723" s="892"/>
      <c r="W723" s="892"/>
      <c r="X723" s="892"/>
      <c r="Y723" s="892"/>
      <c r="Z723" s="892"/>
      <c r="AA723" s="892"/>
      <c r="AB723" s="892"/>
      <c r="AC723" s="892"/>
      <c r="AD723" s="892"/>
      <c r="AE723" s="892"/>
      <c r="AF723" s="837"/>
    </row>
    <row r="724" spans="1:32" ht="31.5">
      <c r="A724" s="827">
        <v>695</v>
      </c>
      <c r="B724" s="828" t="s">
        <v>274</v>
      </c>
      <c r="C724" s="828" t="s">
        <v>4530</v>
      </c>
      <c r="D724" s="829" t="s">
        <v>4531</v>
      </c>
      <c r="E724" s="831">
        <v>10</v>
      </c>
      <c r="F724" s="830" t="s">
        <v>4794</v>
      </c>
      <c r="G724" s="830" t="s">
        <v>4794</v>
      </c>
      <c r="H724" s="830" t="s">
        <v>4794</v>
      </c>
      <c r="I724" s="830" t="s">
        <v>4794</v>
      </c>
      <c r="J724" s="831">
        <v>10</v>
      </c>
      <c r="K724" s="830" t="s">
        <v>4794</v>
      </c>
      <c r="L724" s="831">
        <v>10</v>
      </c>
      <c r="M724" s="830" t="s">
        <v>4794</v>
      </c>
      <c r="N724" s="830" t="s">
        <v>4794</v>
      </c>
      <c r="O724" s="830" t="s">
        <v>4794</v>
      </c>
      <c r="P724" s="830" t="s">
        <v>4794</v>
      </c>
      <c r="Q724" s="832">
        <f t="shared" si="10"/>
        <v>30</v>
      </c>
      <c r="R724" s="833" t="s">
        <v>4025</v>
      </c>
      <c r="S724" s="836"/>
      <c r="T724" s="892"/>
      <c r="U724" s="892"/>
      <c r="V724" s="892"/>
      <c r="W724" s="892"/>
      <c r="X724" s="892"/>
      <c r="Y724" s="892"/>
      <c r="Z724" s="892"/>
      <c r="AA724" s="892"/>
      <c r="AB724" s="892"/>
      <c r="AC724" s="892"/>
      <c r="AD724" s="892"/>
      <c r="AE724" s="892"/>
      <c r="AF724" s="837"/>
    </row>
    <row r="725" spans="1:32" ht="31.5">
      <c r="A725" s="827">
        <v>696</v>
      </c>
      <c r="B725" s="828" t="s">
        <v>274</v>
      </c>
      <c r="C725" s="828" t="s">
        <v>4532</v>
      </c>
      <c r="D725" s="829" t="s">
        <v>4533</v>
      </c>
      <c r="E725" s="831">
        <v>10</v>
      </c>
      <c r="F725" s="830" t="s">
        <v>4794</v>
      </c>
      <c r="G725" s="830" t="s">
        <v>4794</v>
      </c>
      <c r="H725" s="830" t="s">
        <v>4794</v>
      </c>
      <c r="I725" s="830" t="s">
        <v>4794</v>
      </c>
      <c r="J725" s="831">
        <v>10</v>
      </c>
      <c r="K725" s="830" t="s">
        <v>4794</v>
      </c>
      <c r="L725" s="831">
        <v>10</v>
      </c>
      <c r="M725" s="830" t="s">
        <v>4794</v>
      </c>
      <c r="N725" s="830" t="s">
        <v>4794</v>
      </c>
      <c r="O725" s="830" t="s">
        <v>4794</v>
      </c>
      <c r="P725" s="830" t="s">
        <v>4794</v>
      </c>
      <c r="Q725" s="832">
        <f t="shared" si="10"/>
        <v>30</v>
      </c>
      <c r="R725" s="833" t="s">
        <v>4025</v>
      </c>
      <c r="S725" s="836"/>
      <c r="T725" s="892"/>
      <c r="U725" s="892"/>
      <c r="V725" s="892"/>
      <c r="W725" s="892"/>
      <c r="X725" s="892"/>
      <c r="Y725" s="892"/>
      <c r="Z725" s="892"/>
      <c r="AA725" s="892"/>
      <c r="AB725" s="892"/>
      <c r="AC725" s="892"/>
      <c r="AD725" s="892"/>
      <c r="AE725" s="892"/>
      <c r="AF725" s="837"/>
    </row>
    <row r="726" spans="1:32" ht="31.5">
      <c r="A726" s="827">
        <v>697</v>
      </c>
      <c r="B726" s="828" t="s">
        <v>274</v>
      </c>
      <c r="C726" s="828" t="s">
        <v>4534</v>
      </c>
      <c r="D726" s="829" t="s">
        <v>4535</v>
      </c>
      <c r="E726" s="831">
        <v>10</v>
      </c>
      <c r="F726" s="830" t="s">
        <v>4794</v>
      </c>
      <c r="G726" s="830" t="s">
        <v>4794</v>
      </c>
      <c r="H726" s="830" t="s">
        <v>4794</v>
      </c>
      <c r="I726" s="830" t="s">
        <v>4794</v>
      </c>
      <c r="J726" s="831">
        <v>10</v>
      </c>
      <c r="K726" s="830" t="s">
        <v>4794</v>
      </c>
      <c r="L726" s="831">
        <v>10</v>
      </c>
      <c r="M726" s="830" t="s">
        <v>4794</v>
      </c>
      <c r="N726" s="830" t="s">
        <v>4794</v>
      </c>
      <c r="O726" s="830" t="s">
        <v>4794</v>
      </c>
      <c r="P726" s="830" t="s">
        <v>4794</v>
      </c>
      <c r="Q726" s="832">
        <f t="shared" si="10"/>
        <v>30</v>
      </c>
      <c r="R726" s="833" t="s">
        <v>4025</v>
      </c>
      <c r="S726" s="836"/>
      <c r="T726" s="892"/>
      <c r="U726" s="892"/>
      <c r="V726" s="892"/>
      <c r="W726" s="892"/>
      <c r="X726" s="892"/>
      <c r="Y726" s="892"/>
      <c r="Z726" s="892"/>
      <c r="AA726" s="892"/>
      <c r="AB726" s="892"/>
      <c r="AC726" s="892"/>
      <c r="AD726" s="892"/>
      <c r="AE726" s="892"/>
      <c r="AF726" s="837"/>
    </row>
    <row r="727" spans="1:32" ht="31.5">
      <c r="A727" s="827">
        <v>698</v>
      </c>
      <c r="B727" s="828" t="s">
        <v>274</v>
      </c>
      <c r="C727" s="828" t="s">
        <v>4536</v>
      </c>
      <c r="D727" s="829" t="s">
        <v>4537</v>
      </c>
      <c r="E727" s="831">
        <v>10</v>
      </c>
      <c r="F727" s="830" t="s">
        <v>4794</v>
      </c>
      <c r="G727" s="830" t="s">
        <v>4794</v>
      </c>
      <c r="H727" s="830" t="s">
        <v>4794</v>
      </c>
      <c r="I727" s="830" t="s">
        <v>4794</v>
      </c>
      <c r="J727" s="831">
        <v>10</v>
      </c>
      <c r="K727" s="830" t="s">
        <v>4794</v>
      </c>
      <c r="L727" s="831">
        <v>10</v>
      </c>
      <c r="M727" s="830" t="s">
        <v>4794</v>
      </c>
      <c r="N727" s="830" t="s">
        <v>4794</v>
      </c>
      <c r="O727" s="830" t="s">
        <v>4794</v>
      </c>
      <c r="P727" s="830" t="s">
        <v>4794</v>
      </c>
      <c r="Q727" s="832">
        <f t="shared" si="10"/>
        <v>30</v>
      </c>
      <c r="R727" s="833" t="s">
        <v>4025</v>
      </c>
      <c r="S727" s="836"/>
      <c r="T727" s="892"/>
      <c r="U727" s="892"/>
      <c r="V727" s="892"/>
      <c r="W727" s="892"/>
      <c r="X727" s="892"/>
      <c r="Y727" s="892"/>
      <c r="Z727" s="892"/>
      <c r="AA727" s="892"/>
      <c r="AB727" s="892"/>
      <c r="AC727" s="892"/>
      <c r="AD727" s="892"/>
      <c r="AE727" s="892"/>
      <c r="AF727" s="837"/>
    </row>
    <row r="728" spans="1:32" ht="31.5">
      <c r="A728" s="827">
        <v>699</v>
      </c>
      <c r="B728" s="828" t="s">
        <v>274</v>
      </c>
      <c r="C728" s="828" t="s">
        <v>4538</v>
      </c>
      <c r="D728" s="829" t="s">
        <v>4539</v>
      </c>
      <c r="E728" s="831">
        <v>10</v>
      </c>
      <c r="F728" s="830" t="s">
        <v>4794</v>
      </c>
      <c r="G728" s="830" t="s">
        <v>4794</v>
      </c>
      <c r="H728" s="830" t="s">
        <v>4794</v>
      </c>
      <c r="I728" s="830" t="s">
        <v>4794</v>
      </c>
      <c r="J728" s="831">
        <v>10</v>
      </c>
      <c r="K728" s="830" t="s">
        <v>4794</v>
      </c>
      <c r="L728" s="831">
        <v>10</v>
      </c>
      <c r="M728" s="830" t="s">
        <v>4794</v>
      </c>
      <c r="N728" s="830" t="s">
        <v>4794</v>
      </c>
      <c r="O728" s="830" t="s">
        <v>4794</v>
      </c>
      <c r="P728" s="830" t="s">
        <v>4794</v>
      </c>
      <c r="Q728" s="832">
        <f t="shared" si="10"/>
        <v>30</v>
      </c>
      <c r="R728" s="833" t="s">
        <v>4025</v>
      </c>
      <c r="S728" s="836"/>
      <c r="T728" s="892"/>
      <c r="U728" s="892"/>
      <c r="V728" s="892"/>
      <c r="W728" s="892"/>
      <c r="X728" s="892"/>
      <c r="Y728" s="892"/>
      <c r="Z728" s="892"/>
      <c r="AA728" s="892"/>
      <c r="AB728" s="892"/>
      <c r="AC728" s="892"/>
      <c r="AD728" s="892"/>
      <c r="AE728" s="892"/>
      <c r="AF728" s="837"/>
    </row>
    <row r="729" spans="1:32" ht="31.5">
      <c r="A729" s="827">
        <v>700</v>
      </c>
      <c r="B729" s="828" t="s">
        <v>274</v>
      </c>
      <c r="C729" s="828" t="s">
        <v>4540</v>
      </c>
      <c r="D729" s="829" t="s">
        <v>4541</v>
      </c>
      <c r="E729" s="831">
        <v>10</v>
      </c>
      <c r="F729" s="830" t="s">
        <v>4794</v>
      </c>
      <c r="G729" s="830" t="s">
        <v>4794</v>
      </c>
      <c r="H729" s="830" t="s">
        <v>4794</v>
      </c>
      <c r="I729" s="830" t="s">
        <v>4794</v>
      </c>
      <c r="J729" s="831">
        <v>10</v>
      </c>
      <c r="K729" s="830" t="s">
        <v>4794</v>
      </c>
      <c r="L729" s="831">
        <v>10</v>
      </c>
      <c r="M729" s="830" t="s">
        <v>4794</v>
      </c>
      <c r="N729" s="830" t="s">
        <v>4794</v>
      </c>
      <c r="O729" s="830" t="s">
        <v>4794</v>
      </c>
      <c r="P729" s="830" t="s">
        <v>4794</v>
      </c>
      <c r="Q729" s="832">
        <f t="shared" si="10"/>
        <v>30</v>
      </c>
      <c r="R729" s="833" t="s">
        <v>4025</v>
      </c>
      <c r="S729" s="836"/>
      <c r="T729" s="892"/>
      <c r="U729" s="892"/>
      <c r="V729" s="892"/>
      <c r="W729" s="892"/>
      <c r="X729" s="892"/>
      <c r="Y729" s="892"/>
      <c r="Z729" s="892"/>
      <c r="AA729" s="892"/>
      <c r="AB729" s="892"/>
      <c r="AC729" s="892"/>
      <c r="AD729" s="892"/>
      <c r="AE729" s="892"/>
      <c r="AF729" s="837"/>
    </row>
    <row r="730" spans="1:32" ht="31.5">
      <c r="A730" s="827">
        <v>701</v>
      </c>
      <c r="B730" s="828" t="s">
        <v>274</v>
      </c>
      <c r="C730" s="828" t="s">
        <v>4542</v>
      </c>
      <c r="D730" s="829" t="s">
        <v>4543</v>
      </c>
      <c r="E730" s="831">
        <v>10</v>
      </c>
      <c r="F730" s="830" t="s">
        <v>4794</v>
      </c>
      <c r="G730" s="830" t="s">
        <v>4794</v>
      </c>
      <c r="H730" s="830" t="s">
        <v>4794</v>
      </c>
      <c r="I730" s="830" t="s">
        <v>4794</v>
      </c>
      <c r="J730" s="831">
        <v>10</v>
      </c>
      <c r="K730" s="830" t="s">
        <v>4794</v>
      </c>
      <c r="L730" s="831">
        <v>10</v>
      </c>
      <c r="M730" s="830" t="s">
        <v>4794</v>
      </c>
      <c r="N730" s="830" t="s">
        <v>4794</v>
      </c>
      <c r="O730" s="830" t="s">
        <v>4794</v>
      </c>
      <c r="P730" s="830" t="s">
        <v>4794</v>
      </c>
      <c r="Q730" s="832">
        <f t="shared" si="10"/>
        <v>30</v>
      </c>
      <c r="R730" s="833" t="s">
        <v>4025</v>
      </c>
      <c r="S730" s="836"/>
      <c r="T730" s="892"/>
      <c r="U730" s="892"/>
      <c r="V730" s="892"/>
      <c r="W730" s="892"/>
      <c r="X730" s="892"/>
      <c r="Y730" s="892"/>
      <c r="Z730" s="892"/>
      <c r="AA730" s="892"/>
      <c r="AB730" s="892"/>
      <c r="AC730" s="892"/>
      <c r="AD730" s="892"/>
      <c r="AE730" s="892"/>
      <c r="AF730" s="837"/>
    </row>
    <row r="731" spans="1:32" ht="31.5">
      <c r="A731" s="827">
        <v>702</v>
      </c>
      <c r="B731" s="828" t="s">
        <v>274</v>
      </c>
      <c r="C731" s="828" t="s">
        <v>4544</v>
      </c>
      <c r="D731" s="829" t="s">
        <v>4545</v>
      </c>
      <c r="E731" s="831">
        <v>10</v>
      </c>
      <c r="F731" s="830" t="s">
        <v>4794</v>
      </c>
      <c r="G731" s="830" t="s">
        <v>4794</v>
      </c>
      <c r="H731" s="830" t="s">
        <v>4794</v>
      </c>
      <c r="I731" s="830" t="s">
        <v>4794</v>
      </c>
      <c r="J731" s="831">
        <v>10</v>
      </c>
      <c r="K731" s="830" t="s">
        <v>4794</v>
      </c>
      <c r="L731" s="831">
        <v>10</v>
      </c>
      <c r="M731" s="830" t="s">
        <v>4794</v>
      </c>
      <c r="N731" s="830" t="s">
        <v>4794</v>
      </c>
      <c r="O731" s="830" t="s">
        <v>4794</v>
      </c>
      <c r="P731" s="830" t="s">
        <v>4794</v>
      </c>
      <c r="Q731" s="832">
        <f t="shared" si="10"/>
        <v>30</v>
      </c>
      <c r="R731" s="833" t="s">
        <v>4025</v>
      </c>
      <c r="S731" s="836"/>
      <c r="T731" s="892"/>
      <c r="U731" s="892"/>
      <c r="V731" s="892"/>
      <c r="W731" s="892"/>
      <c r="X731" s="892"/>
      <c r="Y731" s="892"/>
      <c r="Z731" s="892"/>
      <c r="AA731" s="892"/>
      <c r="AB731" s="892"/>
      <c r="AC731" s="892"/>
      <c r="AD731" s="892"/>
      <c r="AE731" s="892"/>
      <c r="AF731" s="837"/>
    </row>
    <row r="732" spans="1:32" ht="31.5">
      <c r="A732" s="827">
        <v>703</v>
      </c>
      <c r="B732" s="828" t="s">
        <v>274</v>
      </c>
      <c r="C732" s="828" t="s">
        <v>4546</v>
      </c>
      <c r="D732" s="829" t="s">
        <v>4547</v>
      </c>
      <c r="E732" s="830" t="s">
        <v>4794</v>
      </c>
      <c r="F732" s="830" t="s">
        <v>4794</v>
      </c>
      <c r="G732" s="830" t="s">
        <v>4794</v>
      </c>
      <c r="H732" s="830" t="s">
        <v>4794</v>
      </c>
      <c r="I732" s="831">
        <v>10</v>
      </c>
      <c r="J732" s="830" t="s">
        <v>4794</v>
      </c>
      <c r="K732" s="831">
        <v>10</v>
      </c>
      <c r="L732" s="830" t="s">
        <v>4794</v>
      </c>
      <c r="M732" s="830" t="s">
        <v>4794</v>
      </c>
      <c r="N732" s="830" t="s">
        <v>4794</v>
      </c>
      <c r="O732" s="830" t="s">
        <v>4794</v>
      </c>
      <c r="P732" s="830" t="s">
        <v>4794</v>
      </c>
      <c r="Q732" s="832">
        <f t="shared" si="10"/>
        <v>20</v>
      </c>
      <c r="R732" s="833" t="s">
        <v>4025</v>
      </c>
      <c r="S732" s="836"/>
      <c r="T732" s="851"/>
      <c r="U732" s="851"/>
      <c r="V732" s="851"/>
      <c r="W732" s="851"/>
      <c r="X732" s="851"/>
      <c r="Y732" s="851"/>
      <c r="Z732" s="851"/>
      <c r="AA732" s="851"/>
      <c r="AB732" s="851"/>
      <c r="AC732" s="851"/>
      <c r="AD732" s="851"/>
      <c r="AE732" s="851"/>
      <c r="AF732" s="837"/>
    </row>
    <row r="733" spans="1:32" ht="31.5">
      <c r="A733" s="827">
        <v>704</v>
      </c>
      <c r="B733" s="828" t="s">
        <v>274</v>
      </c>
      <c r="C733" s="828" t="s">
        <v>4548</v>
      </c>
      <c r="D733" s="829" t="s">
        <v>4549</v>
      </c>
      <c r="E733" s="830" t="s">
        <v>4794</v>
      </c>
      <c r="F733" s="830" t="s">
        <v>4794</v>
      </c>
      <c r="G733" s="830" t="s">
        <v>4794</v>
      </c>
      <c r="H733" s="830" t="s">
        <v>4794</v>
      </c>
      <c r="I733" s="831">
        <v>10</v>
      </c>
      <c r="J733" s="830" t="s">
        <v>4794</v>
      </c>
      <c r="K733" s="831">
        <v>10</v>
      </c>
      <c r="L733" s="830" t="s">
        <v>4794</v>
      </c>
      <c r="M733" s="830" t="s">
        <v>4794</v>
      </c>
      <c r="N733" s="830" t="s">
        <v>4794</v>
      </c>
      <c r="O733" s="830" t="s">
        <v>4794</v>
      </c>
      <c r="P733" s="830" t="s">
        <v>4794</v>
      </c>
      <c r="Q733" s="832">
        <f t="shared" si="10"/>
        <v>20</v>
      </c>
      <c r="R733" s="833" t="s">
        <v>4025</v>
      </c>
      <c r="S733" s="836"/>
      <c r="T733" s="851"/>
      <c r="U733" s="851"/>
      <c r="V733" s="851"/>
      <c r="W733" s="851"/>
      <c r="X733" s="851"/>
      <c r="Y733" s="851"/>
      <c r="Z733" s="851"/>
      <c r="AA733" s="851"/>
      <c r="AB733" s="851"/>
      <c r="AC733" s="851"/>
      <c r="AD733" s="851"/>
      <c r="AE733" s="851"/>
      <c r="AF733" s="837"/>
    </row>
    <row r="734" spans="1:32" ht="31.5">
      <c r="A734" s="827">
        <v>705</v>
      </c>
      <c r="B734" s="828" t="s">
        <v>274</v>
      </c>
      <c r="C734" s="828" t="s">
        <v>4550</v>
      </c>
      <c r="D734" s="829" t="s">
        <v>4551</v>
      </c>
      <c r="E734" s="830" t="s">
        <v>4794</v>
      </c>
      <c r="F734" s="830" t="s">
        <v>4794</v>
      </c>
      <c r="G734" s="830" t="s">
        <v>4794</v>
      </c>
      <c r="H734" s="830" t="s">
        <v>4794</v>
      </c>
      <c r="I734" s="831">
        <v>10</v>
      </c>
      <c r="J734" s="830"/>
      <c r="K734" s="831">
        <v>10</v>
      </c>
      <c r="L734" s="830" t="s">
        <v>4794</v>
      </c>
      <c r="M734" s="830" t="s">
        <v>4794</v>
      </c>
      <c r="N734" s="830" t="s">
        <v>4794</v>
      </c>
      <c r="O734" s="830" t="s">
        <v>4794</v>
      </c>
      <c r="P734" s="830" t="s">
        <v>4794</v>
      </c>
      <c r="Q734" s="832">
        <f t="shared" si="10"/>
        <v>20</v>
      </c>
      <c r="R734" s="833" t="s">
        <v>4025</v>
      </c>
      <c r="S734" s="836"/>
      <c r="T734" s="872"/>
      <c r="U734" s="872"/>
      <c r="V734" s="872"/>
      <c r="W734" s="872"/>
      <c r="X734" s="872"/>
      <c r="Y734" s="872"/>
      <c r="Z734" s="872"/>
      <c r="AA734" s="872"/>
      <c r="AB734" s="851"/>
      <c r="AC734" s="851"/>
      <c r="AD734" s="851"/>
      <c r="AE734" s="851"/>
      <c r="AF734" s="837"/>
    </row>
    <row r="735" spans="1:32" ht="31.5">
      <c r="A735" s="827">
        <v>706</v>
      </c>
      <c r="B735" s="828" t="s">
        <v>274</v>
      </c>
      <c r="C735" s="828" t="s">
        <v>4552</v>
      </c>
      <c r="D735" s="829" t="s">
        <v>4553</v>
      </c>
      <c r="E735" s="830" t="s">
        <v>4794</v>
      </c>
      <c r="F735" s="830" t="s">
        <v>4794</v>
      </c>
      <c r="G735" s="830" t="s">
        <v>4794</v>
      </c>
      <c r="H735" s="830" t="s">
        <v>4794</v>
      </c>
      <c r="I735" s="831">
        <v>10</v>
      </c>
      <c r="J735" s="830"/>
      <c r="K735" s="831">
        <v>10</v>
      </c>
      <c r="L735" s="830" t="s">
        <v>4794</v>
      </c>
      <c r="M735" s="830" t="s">
        <v>4794</v>
      </c>
      <c r="N735" s="830" t="s">
        <v>4794</v>
      </c>
      <c r="O735" s="830" t="s">
        <v>4794</v>
      </c>
      <c r="P735" s="830" t="s">
        <v>4794</v>
      </c>
      <c r="Q735" s="832">
        <f t="shared" si="10"/>
        <v>20</v>
      </c>
      <c r="R735" s="833" t="s">
        <v>4025</v>
      </c>
      <c r="S735" s="836"/>
      <c r="T735" s="872"/>
      <c r="U735" s="872"/>
      <c r="V735" s="872"/>
      <c r="W735" s="872"/>
      <c r="X735" s="872"/>
      <c r="Y735" s="872"/>
      <c r="Z735" s="872"/>
      <c r="AA735" s="872"/>
      <c r="AB735" s="851"/>
      <c r="AC735" s="851"/>
      <c r="AD735" s="851"/>
      <c r="AE735" s="851"/>
      <c r="AF735" s="837"/>
    </row>
    <row r="736" spans="1:32" ht="31.5">
      <c r="A736" s="827">
        <v>707</v>
      </c>
      <c r="B736" s="828" t="s">
        <v>274</v>
      </c>
      <c r="C736" s="828" t="s">
        <v>4554</v>
      </c>
      <c r="D736" s="829" t="s">
        <v>4555</v>
      </c>
      <c r="E736" s="830" t="s">
        <v>4794</v>
      </c>
      <c r="F736" s="830" t="s">
        <v>4794</v>
      </c>
      <c r="G736" s="830" t="s">
        <v>4794</v>
      </c>
      <c r="H736" s="830" t="s">
        <v>4794</v>
      </c>
      <c r="I736" s="831">
        <v>10</v>
      </c>
      <c r="J736" s="830"/>
      <c r="K736" s="831">
        <v>10</v>
      </c>
      <c r="L736" s="830" t="s">
        <v>4794</v>
      </c>
      <c r="M736" s="830" t="s">
        <v>4794</v>
      </c>
      <c r="N736" s="830" t="s">
        <v>4794</v>
      </c>
      <c r="O736" s="830" t="s">
        <v>4794</v>
      </c>
      <c r="P736" s="830" t="s">
        <v>4794</v>
      </c>
      <c r="Q736" s="832">
        <f t="shared" si="10"/>
        <v>20</v>
      </c>
      <c r="R736" s="833" t="s">
        <v>4025</v>
      </c>
      <c r="S736" s="836"/>
      <c r="T736" s="872"/>
      <c r="U736" s="872"/>
      <c r="V736" s="872"/>
      <c r="W736" s="872"/>
      <c r="X736" s="872"/>
      <c r="Y736" s="872"/>
      <c r="Z736" s="872"/>
      <c r="AA736" s="872"/>
      <c r="AB736" s="851"/>
      <c r="AC736" s="851"/>
      <c r="AD736" s="851"/>
      <c r="AE736" s="851"/>
      <c r="AF736" s="837"/>
    </row>
    <row r="737" spans="1:32" ht="31.5">
      <c r="A737" s="827">
        <v>708</v>
      </c>
      <c r="B737" s="828" t="s">
        <v>274</v>
      </c>
      <c r="C737" s="828" t="s">
        <v>4556</v>
      </c>
      <c r="D737" s="829" t="s">
        <v>4557</v>
      </c>
      <c r="E737" s="830" t="s">
        <v>4794</v>
      </c>
      <c r="F737" s="830" t="s">
        <v>4794</v>
      </c>
      <c r="G737" s="830" t="s">
        <v>4794</v>
      </c>
      <c r="H737" s="830" t="s">
        <v>4794</v>
      </c>
      <c r="I737" s="831">
        <v>10</v>
      </c>
      <c r="J737" s="830"/>
      <c r="K737" s="831">
        <v>10</v>
      </c>
      <c r="L737" s="830" t="s">
        <v>4794</v>
      </c>
      <c r="M737" s="830" t="s">
        <v>4794</v>
      </c>
      <c r="N737" s="830" t="s">
        <v>4794</v>
      </c>
      <c r="O737" s="830" t="s">
        <v>4794</v>
      </c>
      <c r="P737" s="830" t="s">
        <v>4794</v>
      </c>
      <c r="Q737" s="832">
        <f t="shared" si="10"/>
        <v>20</v>
      </c>
      <c r="R737" s="833" t="s">
        <v>4025</v>
      </c>
      <c r="S737" s="836"/>
      <c r="T737" s="872"/>
      <c r="U737" s="872"/>
      <c r="V737" s="872"/>
      <c r="W737" s="872"/>
      <c r="X737" s="872"/>
      <c r="Y737" s="872"/>
      <c r="Z737" s="872"/>
      <c r="AA737" s="872"/>
      <c r="AB737" s="851"/>
      <c r="AC737" s="851"/>
      <c r="AD737" s="851"/>
      <c r="AE737" s="851"/>
      <c r="AF737" s="837"/>
    </row>
    <row r="738" spans="1:32" ht="31.5">
      <c r="A738" s="827">
        <v>709</v>
      </c>
      <c r="B738" s="828" t="s">
        <v>274</v>
      </c>
      <c r="C738" s="828" t="s">
        <v>4558</v>
      </c>
      <c r="D738" s="829" t="s">
        <v>4559</v>
      </c>
      <c r="E738" s="830" t="s">
        <v>4794</v>
      </c>
      <c r="F738" s="830" t="s">
        <v>4794</v>
      </c>
      <c r="G738" s="830" t="s">
        <v>4794</v>
      </c>
      <c r="H738" s="830" t="s">
        <v>4794</v>
      </c>
      <c r="I738" s="831">
        <v>10</v>
      </c>
      <c r="J738" s="830"/>
      <c r="K738" s="831">
        <v>10</v>
      </c>
      <c r="L738" s="830" t="s">
        <v>4794</v>
      </c>
      <c r="M738" s="830" t="s">
        <v>4794</v>
      </c>
      <c r="N738" s="830" t="s">
        <v>4794</v>
      </c>
      <c r="O738" s="830" t="s">
        <v>4794</v>
      </c>
      <c r="P738" s="830" t="s">
        <v>4794</v>
      </c>
      <c r="Q738" s="832">
        <f t="shared" si="10"/>
        <v>20</v>
      </c>
      <c r="R738" s="833" t="s">
        <v>4025</v>
      </c>
      <c r="S738" s="836"/>
      <c r="T738" s="851"/>
      <c r="U738" s="851"/>
      <c r="V738" s="851"/>
      <c r="W738" s="851"/>
      <c r="X738" s="851"/>
      <c r="Y738" s="851"/>
      <c r="Z738" s="851"/>
      <c r="AA738" s="851"/>
      <c r="AB738" s="851"/>
      <c r="AC738" s="851"/>
      <c r="AD738" s="851"/>
      <c r="AE738" s="851"/>
      <c r="AF738" s="837"/>
    </row>
    <row r="739" spans="1:32" ht="31.5">
      <c r="A739" s="827">
        <v>710</v>
      </c>
      <c r="B739" s="828" t="s">
        <v>274</v>
      </c>
      <c r="C739" s="828" t="s">
        <v>4560</v>
      </c>
      <c r="D739" s="829" t="s">
        <v>4561</v>
      </c>
      <c r="E739" s="830" t="s">
        <v>4794</v>
      </c>
      <c r="F739" s="830" t="s">
        <v>4794</v>
      </c>
      <c r="G739" s="830" t="s">
        <v>4794</v>
      </c>
      <c r="H739" s="830" t="s">
        <v>4794</v>
      </c>
      <c r="I739" s="831">
        <v>10</v>
      </c>
      <c r="J739" s="830"/>
      <c r="K739" s="831">
        <v>10</v>
      </c>
      <c r="L739" s="830" t="s">
        <v>4794</v>
      </c>
      <c r="M739" s="830" t="s">
        <v>4794</v>
      </c>
      <c r="N739" s="830" t="s">
        <v>4794</v>
      </c>
      <c r="O739" s="830" t="s">
        <v>4794</v>
      </c>
      <c r="P739" s="830" t="s">
        <v>4794</v>
      </c>
      <c r="Q739" s="832">
        <f t="shared" si="10"/>
        <v>20</v>
      </c>
      <c r="R739" s="833" t="s">
        <v>4025</v>
      </c>
      <c r="S739" s="836"/>
      <c r="T739" s="872"/>
      <c r="U739" s="872"/>
      <c r="V739" s="872"/>
      <c r="W739" s="872"/>
      <c r="X739" s="872"/>
      <c r="Y739" s="872"/>
      <c r="Z739" s="872"/>
      <c r="AA739" s="872"/>
      <c r="AB739" s="872"/>
      <c r="AC739" s="872"/>
      <c r="AD739" s="872"/>
      <c r="AE739" s="872"/>
      <c r="AF739" s="837"/>
    </row>
    <row r="740" spans="1:32" ht="31.5">
      <c r="A740" s="827">
        <v>711</v>
      </c>
      <c r="B740" s="828" t="s">
        <v>274</v>
      </c>
      <c r="C740" s="828" t="s">
        <v>4562</v>
      </c>
      <c r="D740" s="829" t="s">
        <v>4563</v>
      </c>
      <c r="E740" s="830" t="s">
        <v>4794</v>
      </c>
      <c r="F740" s="830" t="s">
        <v>4794</v>
      </c>
      <c r="G740" s="830" t="s">
        <v>4794</v>
      </c>
      <c r="H740" s="830" t="s">
        <v>4794</v>
      </c>
      <c r="I740" s="831">
        <v>10</v>
      </c>
      <c r="J740" s="830"/>
      <c r="K740" s="831">
        <v>10</v>
      </c>
      <c r="L740" s="830" t="s">
        <v>4794</v>
      </c>
      <c r="M740" s="830" t="s">
        <v>4794</v>
      </c>
      <c r="N740" s="830" t="s">
        <v>4794</v>
      </c>
      <c r="O740" s="830" t="s">
        <v>4794</v>
      </c>
      <c r="P740" s="830" t="s">
        <v>4794</v>
      </c>
      <c r="Q740" s="832">
        <f t="shared" si="10"/>
        <v>20</v>
      </c>
      <c r="R740" s="833" t="s">
        <v>4025</v>
      </c>
      <c r="S740" s="836"/>
      <c r="T740" s="872"/>
      <c r="U740" s="872"/>
      <c r="V740" s="872"/>
      <c r="W740" s="872"/>
      <c r="X740" s="872"/>
      <c r="Y740" s="872"/>
      <c r="Z740" s="872"/>
      <c r="AA740" s="872"/>
      <c r="AB740" s="872"/>
      <c r="AC740" s="872"/>
      <c r="AD740" s="872"/>
      <c r="AE740" s="872"/>
      <c r="AF740" s="837"/>
    </row>
    <row r="741" spans="1:32" ht="31.5">
      <c r="A741" s="827">
        <v>712</v>
      </c>
      <c r="B741" s="828" t="s">
        <v>274</v>
      </c>
      <c r="C741" s="828" t="s">
        <v>4564</v>
      </c>
      <c r="D741" s="829" t="s">
        <v>4565</v>
      </c>
      <c r="E741" s="830" t="s">
        <v>4794</v>
      </c>
      <c r="F741" s="830" t="s">
        <v>4794</v>
      </c>
      <c r="G741" s="831">
        <v>10</v>
      </c>
      <c r="H741" s="830" t="s">
        <v>4794</v>
      </c>
      <c r="I741" s="830" t="s">
        <v>4794</v>
      </c>
      <c r="J741" s="831">
        <v>10</v>
      </c>
      <c r="K741" s="830" t="s">
        <v>4794</v>
      </c>
      <c r="L741" s="831">
        <v>10</v>
      </c>
      <c r="M741" s="830" t="s">
        <v>4794</v>
      </c>
      <c r="N741" s="830" t="s">
        <v>4794</v>
      </c>
      <c r="O741" s="830" t="s">
        <v>4794</v>
      </c>
      <c r="P741" s="830" t="s">
        <v>4794</v>
      </c>
      <c r="Q741" s="832">
        <f t="shared" si="10"/>
        <v>30</v>
      </c>
      <c r="R741" s="833" t="s">
        <v>4025</v>
      </c>
      <c r="S741" s="836"/>
      <c r="T741" s="872"/>
      <c r="U741" s="872"/>
      <c r="V741" s="872"/>
      <c r="W741" s="872"/>
      <c r="X741" s="872"/>
      <c r="Y741" s="872"/>
      <c r="Z741" s="872"/>
      <c r="AA741" s="872"/>
      <c r="AB741" s="872"/>
      <c r="AC741" s="872"/>
      <c r="AD741" s="872"/>
      <c r="AE741" s="872"/>
      <c r="AF741" s="837"/>
    </row>
    <row r="742" spans="1:32" ht="31.5">
      <c r="A742" s="827">
        <v>713</v>
      </c>
      <c r="B742" s="828" t="s">
        <v>274</v>
      </c>
      <c r="C742" s="828" t="s">
        <v>4566</v>
      </c>
      <c r="D742" s="829" t="s">
        <v>4567</v>
      </c>
      <c r="E742" s="830" t="s">
        <v>4794</v>
      </c>
      <c r="F742" s="830" t="s">
        <v>4794</v>
      </c>
      <c r="G742" s="831">
        <v>10</v>
      </c>
      <c r="H742" s="830" t="s">
        <v>4794</v>
      </c>
      <c r="I742" s="830" t="s">
        <v>4794</v>
      </c>
      <c r="J742" s="831">
        <v>10</v>
      </c>
      <c r="K742" s="830" t="s">
        <v>4794</v>
      </c>
      <c r="L742" s="831">
        <v>10</v>
      </c>
      <c r="M742" s="830" t="s">
        <v>4794</v>
      </c>
      <c r="N742" s="830" t="s">
        <v>4794</v>
      </c>
      <c r="O742" s="830" t="s">
        <v>4794</v>
      </c>
      <c r="P742" s="830" t="s">
        <v>4794</v>
      </c>
      <c r="Q742" s="832">
        <f t="shared" si="10"/>
        <v>30</v>
      </c>
      <c r="R742" s="833" t="s">
        <v>4025</v>
      </c>
      <c r="S742" s="836"/>
      <c r="T742" s="872"/>
      <c r="U742" s="872"/>
      <c r="V742" s="872"/>
      <c r="W742" s="872"/>
      <c r="X742" s="872"/>
      <c r="Y742" s="872"/>
      <c r="Z742" s="872"/>
      <c r="AA742" s="872"/>
      <c r="AB742" s="872"/>
      <c r="AC742" s="872"/>
      <c r="AD742" s="872"/>
      <c r="AE742" s="872"/>
      <c r="AF742" s="837"/>
    </row>
    <row r="743" spans="1:32" ht="31.5">
      <c r="A743" s="827">
        <v>714</v>
      </c>
      <c r="B743" s="828" t="s">
        <v>274</v>
      </c>
      <c r="C743" s="828" t="s">
        <v>4568</v>
      </c>
      <c r="D743" s="829" t="s">
        <v>4569</v>
      </c>
      <c r="E743" s="830" t="s">
        <v>4794</v>
      </c>
      <c r="F743" s="830" t="s">
        <v>4794</v>
      </c>
      <c r="G743" s="831">
        <v>10</v>
      </c>
      <c r="H743" s="830" t="s">
        <v>4794</v>
      </c>
      <c r="I743" s="830" t="s">
        <v>4794</v>
      </c>
      <c r="J743" s="831">
        <v>10</v>
      </c>
      <c r="K743" s="830" t="s">
        <v>4794</v>
      </c>
      <c r="L743" s="831">
        <v>10</v>
      </c>
      <c r="M743" s="830" t="s">
        <v>4794</v>
      </c>
      <c r="N743" s="830" t="s">
        <v>4794</v>
      </c>
      <c r="O743" s="830" t="s">
        <v>4794</v>
      </c>
      <c r="P743" s="830" t="s">
        <v>4794</v>
      </c>
      <c r="Q743" s="832">
        <f t="shared" si="10"/>
        <v>30</v>
      </c>
      <c r="R743" s="833" t="s">
        <v>4025</v>
      </c>
      <c r="S743" s="836"/>
      <c r="T743" s="872"/>
      <c r="U743" s="872"/>
      <c r="V743" s="872"/>
      <c r="W743" s="872"/>
      <c r="X743" s="872"/>
      <c r="Y743" s="872"/>
      <c r="Z743" s="872"/>
      <c r="AA743" s="872"/>
      <c r="AB743" s="872"/>
      <c r="AC743" s="872"/>
      <c r="AD743" s="872"/>
      <c r="AE743" s="872"/>
      <c r="AF743" s="837"/>
    </row>
    <row r="744" spans="1:32" ht="31.5">
      <c r="A744" s="827">
        <v>715</v>
      </c>
      <c r="B744" s="828" t="s">
        <v>274</v>
      </c>
      <c r="C744" s="828" t="s">
        <v>4570</v>
      </c>
      <c r="D744" s="829" t="s">
        <v>4571</v>
      </c>
      <c r="E744" s="830" t="s">
        <v>4794</v>
      </c>
      <c r="F744" s="830" t="s">
        <v>4794</v>
      </c>
      <c r="G744" s="831">
        <v>10</v>
      </c>
      <c r="H744" s="830" t="s">
        <v>4794</v>
      </c>
      <c r="I744" s="830" t="s">
        <v>4794</v>
      </c>
      <c r="J744" s="831">
        <v>10</v>
      </c>
      <c r="K744" s="830" t="s">
        <v>4794</v>
      </c>
      <c r="L744" s="831">
        <v>10</v>
      </c>
      <c r="M744" s="830" t="s">
        <v>4794</v>
      </c>
      <c r="N744" s="830" t="s">
        <v>4794</v>
      </c>
      <c r="O744" s="830" t="s">
        <v>4794</v>
      </c>
      <c r="P744" s="830" t="s">
        <v>4794</v>
      </c>
      <c r="Q744" s="832">
        <f t="shared" si="10"/>
        <v>30</v>
      </c>
      <c r="R744" s="833" t="s">
        <v>4025</v>
      </c>
      <c r="S744" s="836"/>
      <c r="T744" s="872"/>
      <c r="U744" s="872"/>
      <c r="V744" s="872"/>
      <c r="W744" s="872"/>
      <c r="X744" s="872"/>
      <c r="Y744" s="872"/>
      <c r="Z744" s="872"/>
      <c r="AA744" s="872"/>
      <c r="AB744" s="872"/>
      <c r="AC744" s="872"/>
      <c r="AD744" s="872"/>
      <c r="AE744" s="872"/>
      <c r="AF744" s="837"/>
    </row>
    <row r="745" spans="1:32" ht="31.5">
      <c r="A745" s="827">
        <v>716</v>
      </c>
      <c r="B745" s="828" t="s">
        <v>274</v>
      </c>
      <c r="C745" s="828" t="s">
        <v>4572</v>
      </c>
      <c r="D745" s="829" t="s">
        <v>4573</v>
      </c>
      <c r="E745" s="830" t="s">
        <v>4794</v>
      </c>
      <c r="F745" s="830" t="s">
        <v>4794</v>
      </c>
      <c r="G745" s="831">
        <v>10</v>
      </c>
      <c r="H745" s="830" t="s">
        <v>4794</v>
      </c>
      <c r="I745" s="830" t="s">
        <v>4794</v>
      </c>
      <c r="J745" s="831">
        <v>10</v>
      </c>
      <c r="K745" s="830" t="s">
        <v>4794</v>
      </c>
      <c r="L745" s="831">
        <v>10</v>
      </c>
      <c r="M745" s="830" t="s">
        <v>4794</v>
      </c>
      <c r="N745" s="830" t="s">
        <v>4794</v>
      </c>
      <c r="O745" s="830" t="s">
        <v>4794</v>
      </c>
      <c r="P745" s="830" t="s">
        <v>4794</v>
      </c>
      <c r="Q745" s="832">
        <f t="shared" si="10"/>
        <v>30</v>
      </c>
      <c r="R745" s="833" t="s">
        <v>4025</v>
      </c>
      <c r="S745" s="836"/>
      <c r="T745" s="872"/>
      <c r="U745" s="872"/>
      <c r="V745" s="872"/>
      <c r="W745" s="872"/>
      <c r="X745" s="872"/>
      <c r="Y745" s="872"/>
      <c r="Z745" s="872"/>
      <c r="AA745" s="872"/>
      <c r="AB745" s="872"/>
      <c r="AC745" s="872"/>
      <c r="AD745" s="872"/>
      <c r="AE745" s="872"/>
      <c r="AF745" s="837"/>
    </row>
    <row r="746" spans="1:32" ht="31.5">
      <c r="A746" s="827">
        <v>717</v>
      </c>
      <c r="B746" s="828" t="s">
        <v>4022</v>
      </c>
      <c r="C746" s="828" t="s">
        <v>4574</v>
      </c>
      <c r="D746" s="829" t="s">
        <v>4575</v>
      </c>
      <c r="E746" s="830" t="s">
        <v>4794</v>
      </c>
      <c r="F746" s="830" t="s">
        <v>4794</v>
      </c>
      <c r="G746" s="831">
        <v>10</v>
      </c>
      <c r="H746" s="830" t="s">
        <v>4794</v>
      </c>
      <c r="I746" s="830" t="s">
        <v>4794</v>
      </c>
      <c r="J746" s="830" t="s">
        <v>4794</v>
      </c>
      <c r="K746" s="830" t="s">
        <v>4794</v>
      </c>
      <c r="L746" s="831">
        <v>10</v>
      </c>
      <c r="M746" s="830" t="s">
        <v>4794</v>
      </c>
      <c r="N746" s="830" t="s">
        <v>4794</v>
      </c>
      <c r="O746" s="830" t="s">
        <v>4794</v>
      </c>
      <c r="P746" s="830" t="s">
        <v>4794</v>
      </c>
      <c r="Q746" s="832">
        <f t="shared" si="10"/>
        <v>20</v>
      </c>
      <c r="R746" s="833" t="s">
        <v>1560</v>
      </c>
      <c r="S746" s="836"/>
      <c r="T746" s="872"/>
      <c r="U746" s="872"/>
      <c r="V746" s="872"/>
      <c r="W746" s="872"/>
      <c r="X746" s="872"/>
      <c r="Y746" s="872"/>
      <c r="Z746" s="872"/>
      <c r="AA746" s="872"/>
      <c r="AB746" s="872"/>
      <c r="AC746" s="872"/>
      <c r="AD746" s="872"/>
      <c r="AE746" s="872"/>
      <c r="AF746" s="837"/>
    </row>
    <row r="747" spans="1:32" ht="31.5">
      <c r="A747" s="827">
        <v>718</v>
      </c>
      <c r="B747" s="828" t="s">
        <v>274</v>
      </c>
      <c r="C747" s="828" t="s">
        <v>4576</v>
      </c>
      <c r="D747" s="829" t="s">
        <v>4577</v>
      </c>
      <c r="E747" s="830" t="s">
        <v>4794</v>
      </c>
      <c r="F747" s="830" t="s">
        <v>4794</v>
      </c>
      <c r="G747" s="831">
        <v>10</v>
      </c>
      <c r="H747" s="830" t="s">
        <v>4794</v>
      </c>
      <c r="I747" s="830"/>
      <c r="J747" s="830" t="s">
        <v>4794</v>
      </c>
      <c r="K747" s="831">
        <v>10</v>
      </c>
      <c r="L747" s="831">
        <v>10</v>
      </c>
      <c r="M747" s="830" t="s">
        <v>4794</v>
      </c>
      <c r="N747" s="830" t="s">
        <v>4794</v>
      </c>
      <c r="O747" s="830" t="s">
        <v>4794</v>
      </c>
      <c r="P747" s="830" t="s">
        <v>4794</v>
      </c>
      <c r="Q747" s="832">
        <f t="shared" si="10"/>
        <v>30</v>
      </c>
      <c r="R747" s="833" t="s">
        <v>4025</v>
      </c>
      <c r="S747" s="836"/>
      <c r="T747" s="872"/>
      <c r="U747" s="872"/>
      <c r="V747" s="872"/>
      <c r="W747" s="872"/>
      <c r="X747" s="872"/>
      <c r="Y747" s="872"/>
      <c r="Z747" s="872"/>
      <c r="AA747" s="872"/>
      <c r="AB747" s="872"/>
      <c r="AC747" s="872"/>
      <c r="AD747" s="872"/>
      <c r="AE747" s="872"/>
      <c r="AF747" s="837"/>
    </row>
    <row r="748" spans="1:32" ht="31.5">
      <c r="A748" s="827">
        <v>719</v>
      </c>
      <c r="B748" s="828" t="s">
        <v>274</v>
      </c>
      <c r="C748" s="828" t="s">
        <v>4578</v>
      </c>
      <c r="D748" s="829" t="s">
        <v>4579</v>
      </c>
      <c r="E748" s="830" t="s">
        <v>4794</v>
      </c>
      <c r="F748" s="830" t="s">
        <v>4794</v>
      </c>
      <c r="G748" s="830"/>
      <c r="H748" s="830" t="s">
        <v>4794</v>
      </c>
      <c r="I748" s="831">
        <v>1</v>
      </c>
      <c r="J748" s="830" t="s">
        <v>4794</v>
      </c>
      <c r="K748" s="831">
        <v>1</v>
      </c>
      <c r="L748" s="830" t="s">
        <v>4794</v>
      </c>
      <c r="M748" s="830" t="s">
        <v>4794</v>
      </c>
      <c r="N748" s="830" t="s">
        <v>4794</v>
      </c>
      <c r="O748" s="830" t="s">
        <v>4794</v>
      </c>
      <c r="P748" s="830" t="s">
        <v>4794</v>
      </c>
      <c r="Q748" s="832">
        <f t="shared" si="10"/>
        <v>2</v>
      </c>
      <c r="R748" s="833" t="s">
        <v>4025</v>
      </c>
      <c r="S748" s="836"/>
      <c r="T748" s="872"/>
      <c r="U748" s="872"/>
      <c r="V748" s="872"/>
      <c r="W748" s="872"/>
      <c r="X748" s="872"/>
      <c r="Y748" s="872"/>
      <c r="Z748" s="872"/>
      <c r="AA748" s="872"/>
      <c r="AB748" s="872"/>
      <c r="AC748" s="872"/>
      <c r="AD748" s="872"/>
      <c r="AE748" s="872"/>
      <c r="AF748" s="837"/>
    </row>
    <row r="749" spans="1:32" ht="31.5">
      <c r="A749" s="827">
        <v>720</v>
      </c>
      <c r="B749" s="828" t="s">
        <v>274</v>
      </c>
      <c r="C749" s="828" t="s">
        <v>4580</v>
      </c>
      <c r="D749" s="829" t="s">
        <v>4581</v>
      </c>
      <c r="E749" s="830" t="s">
        <v>4794</v>
      </c>
      <c r="F749" s="830" t="s">
        <v>4794</v>
      </c>
      <c r="G749" s="830"/>
      <c r="H749" s="830" t="s">
        <v>4794</v>
      </c>
      <c r="I749" s="831">
        <v>1</v>
      </c>
      <c r="J749" s="830" t="s">
        <v>4794</v>
      </c>
      <c r="K749" s="831">
        <v>1</v>
      </c>
      <c r="L749" s="830" t="s">
        <v>4794</v>
      </c>
      <c r="M749" s="830" t="s">
        <v>4794</v>
      </c>
      <c r="N749" s="830" t="s">
        <v>4794</v>
      </c>
      <c r="O749" s="830" t="s">
        <v>4794</v>
      </c>
      <c r="P749" s="830" t="s">
        <v>4794</v>
      </c>
      <c r="Q749" s="832">
        <f t="shared" si="10"/>
        <v>2</v>
      </c>
      <c r="R749" s="833" t="s">
        <v>4025</v>
      </c>
      <c r="S749" s="836"/>
      <c r="T749" s="872"/>
      <c r="U749" s="872"/>
      <c r="V749" s="872"/>
      <c r="W749" s="872"/>
      <c r="X749" s="872"/>
      <c r="Y749" s="872"/>
      <c r="Z749" s="872"/>
      <c r="AA749" s="872"/>
      <c r="AB749" s="872"/>
      <c r="AC749" s="872"/>
      <c r="AD749" s="872"/>
      <c r="AE749" s="872"/>
      <c r="AF749" s="837"/>
    </row>
    <row r="750" spans="1:32" ht="31.5">
      <c r="A750" s="827">
        <v>721</v>
      </c>
      <c r="B750" s="828" t="s">
        <v>274</v>
      </c>
      <c r="C750" s="828" t="s">
        <v>4582</v>
      </c>
      <c r="D750" s="829" t="s">
        <v>4583</v>
      </c>
      <c r="E750" s="830" t="s">
        <v>4794</v>
      </c>
      <c r="F750" s="830" t="s">
        <v>4794</v>
      </c>
      <c r="G750" s="830" t="s">
        <v>4794</v>
      </c>
      <c r="H750" s="830"/>
      <c r="I750" s="831">
        <v>1</v>
      </c>
      <c r="J750" s="830" t="s">
        <v>4794</v>
      </c>
      <c r="K750" s="831">
        <v>5</v>
      </c>
      <c r="L750" s="830" t="s">
        <v>4794</v>
      </c>
      <c r="M750" s="831">
        <v>2</v>
      </c>
      <c r="N750" s="830" t="s">
        <v>4794</v>
      </c>
      <c r="O750" s="830" t="s">
        <v>4794</v>
      </c>
      <c r="P750" s="830" t="s">
        <v>4794</v>
      </c>
      <c r="Q750" s="832">
        <f t="shared" si="10"/>
        <v>8</v>
      </c>
      <c r="R750" s="833" t="s">
        <v>4025</v>
      </c>
      <c r="S750" s="836"/>
      <c r="T750" s="872"/>
      <c r="U750" s="872"/>
      <c r="V750" s="851"/>
      <c r="W750" s="851"/>
      <c r="X750" s="851"/>
      <c r="Y750" s="851"/>
      <c r="Z750" s="872"/>
      <c r="AA750" s="872"/>
      <c r="AB750" s="872"/>
      <c r="AC750" s="872"/>
      <c r="AD750" s="872"/>
      <c r="AE750" s="872"/>
      <c r="AF750" s="837"/>
    </row>
    <row r="751" spans="1:32" ht="31.5">
      <c r="A751" s="827">
        <v>722</v>
      </c>
      <c r="B751" s="828" t="s">
        <v>274</v>
      </c>
      <c r="C751" s="828" t="s">
        <v>4584</v>
      </c>
      <c r="D751" s="829" t="s">
        <v>4585</v>
      </c>
      <c r="E751" s="830" t="s">
        <v>4794</v>
      </c>
      <c r="F751" s="830" t="s">
        <v>4794</v>
      </c>
      <c r="G751" s="830" t="s">
        <v>4794</v>
      </c>
      <c r="H751" s="830"/>
      <c r="I751" s="830" t="s">
        <v>4794</v>
      </c>
      <c r="J751" s="830" t="s">
        <v>4794</v>
      </c>
      <c r="K751" s="831">
        <v>5</v>
      </c>
      <c r="L751" s="830" t="s">
        <v>4794</v>
      </c>
      <c r="M751" s="831">
        <v>2</v>
      </c>
      <c r="N751" s="830" t="s">
        <v>4794</v>
      </c>
      <c r="O751" s="830" t="s">
        <v>4794</v>
      </c>
      <c r="P751" s="830" t="s">
        <v>4794</v>
      </c>
      <c r="Q751" s="832">
        <f t="shared" si="10"/>
        <v>7</v>
      </c>
      <c r="R751" s="833" t="s">
        <v>4025</v>
      </c>
      <c r="S751" s="836"/>
      <c r="T751" s="872"/>
      <c r="U751" s="872"/>
      <c r="V751" s="872"/>
      <c r="W751" s="872"/>
      <c r="X751" s="872"/>
      <c r="Y751" s="872"/>
      <c r="Z751" s="872"/>
      <c r="AA751" s="872"/>
      <c r="AB751" s="872"/>
      <c r="AC751" s="872"/>
      <c r="AD751" s="872"/>
      <c r="AE751" s="872"/>
      <c r="AF751" s="837"/>
    </row>
    <row r="752" spans="1:32" ht="31.5">
      <c r="A752" s="827">
        <v>723</v>
      </c>
      <c r="B752" s="828" t="s">
        <v>274</v>
      </c>
      <c r="C752" s="828" t="s">
        <v>4586</v>
      </c>
      <c r="D752" s="829" t="s">
        <v>4587</v>
      </c>
      <c r="E752" s="830" t="s">
        <v>4794</v>
      </c>
      <c r="F752" s="830" t="s">
        <v>4794</v>
      </c>
      <c r="G752" s="830"/>
      <c r="H752" s="830" t="s">
        <v>4794</v>
      </c>
      <c r="I752" s="831">
        <v>1</v>
      </c>
      <c r="J752" s="830" t="s">
        <v>4794</v>
      </c>
      <c r="K752" s="830" t="s">
        <v>4794</v>
      </c>
      <c r="L752" s="830" t="s">
        <v>4794</v>
      </c>
      <c r="M752" s="830" t="s">
        <v>4794</v>
      </c>
      <c r="N752" s="830" t="s">
        <v>4794</v>
      </c>
      <c r="O752" s="830" t="s">
        <v>4794</v>
      </c>
      <c r="P752" s="830" t="s">
        <v>4794</v>
      </c>
      <c r="Q752" s="832">
        <f t="shared" si="10"/>
        <v>1</v>
      </c>
      <c r="R752" s="833" t="s">
        <v>4025</v>
      </c>
      <c r="S752" s="836"/>
      <c r="T752" s="872"/>
      <c r="U752" s="872"/>
      <c r="V752" s="872"/>
      <c r="W752" s="872"/>
      <c r="X752" s="872"/>
      <c r="Y752" s="872"/>
      <c r="Z752" s="872"/>
      <c r="AA752" s="872"/>
      <c r="AB752" s="872"/>
      <c r="AC752" s="872"/>
      <c r="AD752" s="872"/>
      <c r="AE752" s="872"/>
      <c r="AF752" s="837"/>
    </row>
    <row r="753" spans="1:32" ht="21">
      <c r="A753" s="827">
        <v>724</v>
      </c>
      <c r="B753" s="828" t="s">
        <v>274</v>
      </c>
      <c r="C753" s="828" t="s">
        <v>4588</v>
      </c>
      <c r="D753" s="829" t="s">
        <v>4589</v>
      </c>
      <c r="E753" s="830" t="s">
        <v>4794</v>
      </c>
      <c r="F753" s="830" t="s">
        <v>4794</v>
      </c>
      <c r="G753" s="830"/>
      <c r="H753" s="830" t="s">
        <v>4794</v>
      </c>
      <c r="I753" s="830" t="s">
        <v>4794</v>
      </c>
      <c r="J753" s="830" t="s">
        <v>4794</v>
      </c>
      <c r="K753" s="831">
        <v>1</v>
      </c>
      <c r="L753" s="830" t="s">
        <v>4794</v>
      </c>
      <c r="M753" s="830" t="s">
        <v>4794</v>
      </c>
      <c r="N753" s="830" t="s">
        <v>4794</v>
      </c>
      <c r="O753" s="830" t="s">
        <v>4794</v>
      </c>
      <c r="P753" s="830" t="s">
        <v>4794</v>
      </c>
      <c r="Q753" s="832">
        <f t="shared" si="10"/>
        <v>1</v>
      </c>
      <c r="R753" s="833" t="s">
        <v>4025</v>
      </c>
      <c r="S753" s="836"/>
      <c r="T753" s="872"/>
      <c r="U753" s="872"/>
      <c r="V753" s="872"/>
      <c r="W753" s="872"/>
      <c r="X753" s="872"/>
      <c r="Y753" s="872"/>
      <c r="Z753" s="872"/>
      <c r="AA753" s="872"/>
      <c r="AB753" s="872"/>
      <c r="AC753" s="872"/>
      <c r="AD753" s="872"/>
      <c r="AE753" s="872"/>
      <c r="AF753" s="837"/>
    </row>
    <row r="754" spans="1:32" ht="31.5">
      <c r="A754" s="827">
        <v>725</v>
      </c>
      <c r="B754" s="828" t="s">
        <v>274</v>
      </c>
      <c r="C754" s="828" t="s">
        <v>4590</v>
      </c>
      <c r="D754" s="829" t="s">
        <v>4591</v>
      </c>
      <c r="E754" s="831">
        <v>10</v>
      </c>
      <c r="F754" s="830" t="s">
        <v>4794</v>
      </c>
      <c r="G754" s="830" t="s">
        <v>4794</v>
      </c>
      <c r="H754" s="830" t="s">
        <v>4794</v>
      </c>
      <c r="I754" s="831">
        <v>10</v>
      </c>
      <c r="J754" s="830" t="s">
        <v>4794</v>
      </c>
      <c r="K754" s="830" t="s">
        <v>4794</v>
      </c>
      <c r="L754" s="830" t="s">
        <v>4794</v>
      </c>
      <c r="M754" s="831">
        <v>10</v>
      </c>
      <c r="N754" s="830" t="s">
        <v>4794</v>
      </c>
      <c r="O754" s="830" t="s">
        <v>4794</v>
      </c>
      <c r="P754" s="830" t="s">
        <v>4794</v>
      </c>
      <c r="Q754" s="832">
        <f t="shared" si="10"/>
        <v>30</v>
      </c>
      <c r="R754" s="833" t="s">
        <v>4025</v>
      </c>
      <c r="S754" s="836"/>
      <c r="T754" s="872"/>
      <c r="U754" s="872"/>
      <c r="V754" s="872"/>
      <c r="W754" s="872"/>
      <c r="X754" s="872"/>
      <c r="Y754" s="872"/>
      <c r="Z754" s="872"/>
      <c r="AA754" s="872"/>
      <c r="AB754" s="872"/>
      <c r="AC754" s="872"/>
      <c r="AD754" s="872"/>
      <c r="AE754" s="872"/>
      <c r="AF754" s="837"/>
    </row>
    <row r="755" spans="1:32" ht="31.5">
      <c r="A755" s="827">
        <v>726</v>
      </c>
      <c r="B755" s="828" t="s">
        <v>274</v>
      </c>
      <c r="C755" s="828" t="s">
        <v>4592</v>
      </c>
      <c r="D755" s="829" t="s">
        <v>4593</v>
      </c>
      <c r="E755" s="831">
        <v>10</v>
      </c>
      <c r="F755" s="830" t="s">
        <v>4794</v>
      </c>
      <c r="G755" s="830" t="s">
        <v>4794</v>
      </c>
      <c r="H755" s="830" t="s">
        <v>4794</v>
      </c>
      <c r="I755" s="831">
        <v>10</v>
      </c>
      <c r="J755" s="831">
        <v>10</v>
      </c>
      <c r="K755" s="830" t="s">
        <v>4794</v>
      </c>
      <c r="L755" s="830" t="s">
        <v>4794</v>
      </c>
      <c r="M755" s="831">
        <v>10</v>
      </c>
      <c r="N755" s="830" t="s">
        <v>4794</v>
      </c>
      <c r="O755" s="830" t="s">
        <v>4794</v>
      </c>
      <c r="P755" s="830" t="s">
        <v>4794</v>
      </c>
      <c r="Q755" s="832">
        <f t="shared" si="10"/>
        <v>40</v>
      </c>
      <c r="R755" s="833" t="s">
        <v>4025</v>
      </c>
      <c r="S755" s="836"/>
      <c r="T755" s="872"/>
      <c r="U755" s="872"/>
      <c r="V755" s="872"/>
      <c r="W755" s="872"/>
      <c r="X755" s="872"/>
      <c r="Y755" s="872"/>
      <c r="Z755" s="872"/>
      <c r="AA755" s="872"/>
      <c r="AB755" s="872"/>
      <c r="AC755" s="872"/>
      <c r="AD755" s="872"/>
      <c r="AE755" s="872"/>
      <c r="AF755" s="837"/>
    </row>
    <row r="756" spans="1:32" ht="31.5">
      <c r="A756" s="827">
        <v>727</v>
      </c>
      <c r="B756" s="828" t="s">
        <v>274</v>
      </c>
      <c r="C756" s="828" t="s">
        <v>4594</v>
      </c>
      <c r="D756" s="829" t="s">
        <v>4595</v>
      </c>
      <c r="E756" s="831">
        <v>10</v>
      </c>
      <c r="F756" s="830" t="s">
        <v>4794</v>
      </c>
      <c r="G756" s="830" t="s">
        <v>4794</v>
      </c>
      <c r="H756" s="830" t="s">
        <v>4794</v>
      </c>
      <c r="I756" s="831">
        <v>10</v>
      </c>
      <c r="J756" s="831">
        <v>10</v>
      </c>
      <c r="K756" s="830" t="s">
        <v>4794</v>
      </c>
      <c r="L756" s="830" t="s">
        <v>4794</v>
      </c>
      <c r="M756" s="831">
        <v>10</v>
      </c>
      <c r="N756" s="830" t="s">
        <v>4794</v>
      </c>
      <c r="O756" s="830" t="s">
        <v>4794</v>
      </c>
      <c r="P756" s="830" t="s">
        <v>4794</v>
      </c>
      <c r="Q756" s="832">
        <f t="shared" si="10"/>
        <v>40</v>
      </c>
      <c r="R756" s="833" t="s">
        <v>4025</v>
      </c>
      <c r="S756" s="836"/>
      <c r="T756" s="872"/>
      <c r="U756" s="872"/>
      <c r="V756" s="872"/>
      <c r="W756" s="872"/>
      <c r="X756" s="872"/>
      <c r="Y756" s="872"/>
      <c r="Z756" s="872"/>
      <c r="AA756" s="872"/>
      <c r="AB756" s="872"/>
      <c r="AC756" s="872"/>
      <c r="AD756" s="872"/>
      <c r="AE756" s="872"/>
      <c r="AF756" s="837"/>
    </row>
    <row r="757" spans="1:32" ht="31.5">
      <c r="A757" s="827">
        <v>728</v>
      </c>
      <c r="B757" s="828" t="s">
        <v>274</v>
      </c>
      <c r="C757" s="828" t="s">
        <v>4596</v>
      </c>
      <c r="D757" s="829" t="s">
        <v>4597</v>
      </c>
      <c r="E757" s="831">
        <v>10</v>
      </c>
      <c r="F757" s="830" t="s">
        <v>4794</v>
      </c>
      <c r="G757" s="830" t="s">
        <v>4794</v>
      </c>
      <c r="H757" s="830" t="s">
        <v>4794</v>
      </c>
      <c r="I757" s="831">
        <v>10</v>
      </c>
      <c r="J757" s="831">
        <v>10</v>
      </c>
      <c r="K757" s="830" t="s">
        <v>4794</v>
      </c>
      <c r="L757" s="830" t="s">
        <v>4794</v>
      </c>
      <c r="M757" s="831">
        <v>10</v>
      </c>
      <c r="N757" s="830" t="s">
        <v>4794</v>
      </c>
      <c r="O757" s="830" t="s">
        <v>4794</v>
      </c>
      <c r="P757" s="830" t="s">
        <v>4794</v>
      </c>
      <c r="Q757" s="832">
        <f t="shared" si="10"/>
        <v>40</v>
      </c>
      <c r="R757" s="833" t="s">
        <v>4025</v>
      </c>
      <c r="S757" s="836"/>
      <c r="T757" s="872"/>
      <c r="U757" s="872"/>
      <c r="V757" s="872"/>
      <c r="W757" s="872"/>
      <c r="X757" s="872"/>
      <c r="Y757" s="872"/>
      <c r="Z757" s="872"/>
      <c r="AA757" s="872"/>
      <c r="AB757" s="872"/>
      <c r="AC757" s="872"/>
      <c r="AD757" s="872"/>
      <c r="AE757" s="872"/>
      <c r="AF757" s="837"/>
    </row>
    <row r="758" spans="1:32" ht="31.5">
      <c r="A758" s="827">
        <v>729</v>
      </c>
      <c r="B758" s="828" t="s">
        <v>274</v>
      </c>
      <c r="C758" s="828" t="s">
        <v>4598</v>
      </c>
      <c r="D758" s="829" t="s">
        <v>4599</v>
      </c>
      <c r="E758" s="831">
        <v>10</v>
      </c>
      <c r="F758" s="830" t="s">
        <v>4794</v>
      </c>
      <c r="G758" s="830" t="s">
        <v>4794</v>
      </c>
      <c r="H758" s="830" t="s">
        <v>4794</v>
      </c>
      <c r="I758" s="831">
        <v>10</v>
      </c>
      <c r="J758" s="830" t="s">
        <v>4794</v>
      </c>
      <c r="K758" s="830" t="s">
        <v>4794</v>
      </c>
      <c r="L758" s="831">
        <v>10</v>
      </c>
      <c r="M758" s="831">
        <v>10</v>
      </c>
      <c r="N758" s="830" t="s">
        <v>4794</v>
      </c>
      <c r="O758" s="830" t="s">
        <v>4794</v>
      </c>
      <c r="P758" s="830" t="s">
        <v>4794</v>
      </c>
      <c r="Q758" s="832">
        <f t="shared" si="10"/>
        <v>40</v>
      </c>
      <c r="R758" s="833" t="s">
        <v>4025</v>
      </c>
      <c r="S758" s="836"/>
      <c r="T758" s="872"/>
      <c r="U758" s="872"/>
      <c r="V758" s="872"/>
      <c r="W758" s="872"/>
      <c r="X758" s="872"/>
      <c r="Y758" s="872"/>
      <c r="Z758" s="872"/>
      <c r="AA758" s="872"/>
      <c r="AB758" s="872"/>
      <c r="AC758" s="872"/>
      <c r="AD758" s="872"/>
      <c r="AE758" s="872"/>
      <c r="AF758" s="837"/>
    </row>
    <row r="759" spans="1:32" ht="31.5">
      <c r="A759" s="827">
        <v>730</v>
      </c>
      <c r="B759" s="828" t="s">
        <v>274</v>
      </c>
      <c r="C759" s="828" t="s">
        <v>4600</v>
      </c>
      <c r="D759" s="829" t="s">
        <v>4601</v>
      </c>
      <c r="E759" s="831">
        <v>10</v>
      </c>
      <c r="F759" s="830" t="s">
        <v>4794</v>
      </c>
      <c r="G759" s="830" t="s">
        <v>4794</v>
      </c>
      <c r="H759" s="830" t="s">
        <v>4794</v>
      </c>
      <c r="I759" s="831">
        <v>10</v>
      </c>
      <c r="J759" s="830" t="s">
        <v>4794</v>
      </c>
      <c r="K759" s="830" t="s">
        <v>4794</v>
      </c>
      <c r="L759" s="831">
        <v>10</v>
      </c>
      <c r="M759" s="831">
        <v>10</v>
      </c>
      <c r="N759" s="830" t="s">
        <v>4794</v>
      </c>
      <c r="O759" s="830" t="s">
        <v>4794</v>
      </c>
      <c r="P759" s="830" t="s">
        <v>4794</v>
      </c>
      <c r="Q759" s="832">
        <f t="shared" si="10"/>
        <v>40</v>
      </c>
      <c r="R759" s="833" t="s">
        <v>4025</v>
      </c>
      <c r="S759" s="836"/>
      <c r="T759" s="872"/>
      <c r="U759" s="872"/>
      <c r="V759" s="872"/>
      <c r="W759" s="872"/>
      <c r="X759" s="872"/>
      <c r="Y759" s="872"/>
      <c r="Z759" s="872"/>
      <c r="AA759" s="872"/>
      <c r="AB759" s="872"/>
      <c r="AC759" s="872"/>
      <c r="AD759" s="872"/>
      <c r="AE759" s="872"/>
      <c r="AF759" s="837"/>
    </row>
    <row r="760" spans="1:32" ht="31.5">
      <c r="A760" s="827">
        <v>731</v>
      </c>
      <c r="B760" s="828" t="s">
        <v>274</v>
      </c>
      <c r="C760" s="828" t="s">
        <v>4602</v>
      </c>
      <c r="D760" s="829" t="s">
        <v>4603</v>
      </c>
      <c r="E760" s="831">
        <v>10</v>
      </c>
      <c r="F760" s="830" t="s">
        <v>4794</v>
      </c>
      <c r="G760" s="830" t="s">
        <v>4794</v>
      </c>
      <c r="H760" s="831">
        <v>10</v>
      </c>
      <c r="I760" s="831">
        <v>10</v>
      </c>
      <c r="J760" s="830" t="s">
        <v>4794</v>
      </c>
      <c r="K760" s="830" t="s">
        <v>4794</v>
      </c>
      <c r="L760" s="830" t="s">
        <v>4794</v>
      </c>
      <c r="M760" s="831">
        <v>10</v>
      </c>
      <c r="N760" s="830" t="s">
        <v>4794</v>
      </c>
      <c r="O760" s="830" t="s">
        <v>4794</v>
      </c>
      <c r="P760" s="830" t="s">
        <v>4794</v>
      </c>
      <c r="Q760" s="832">
        <f t="shared" si="10"/>
        <v>40</v>
      </c>
      <c r="R760" s="833" t="s">
        <v>4025</v>
      </c>
      <c r="S760" s="836"/>
      <c r="T760" s="872"/>
      <c r="U760" s="872"/>
      <c r="V760" s="872"/>
      <c r="W760" s="872"/>
      <c r="X760" s="872"/>
      <c r="Y760" s="872"/>
      <c r="Z760" s="872"/>
      <c r="AA760" s="872"/>
      <c r="AB760" s="872"/>
      <c r="AC760" s="872"/>
      <c r="AD760" s="872"/>
      <c r="AE760" s="872"/>
      <c r="AF760" s="837"/>
    </row>
    <row r="761" spans="1:32" ht="31.5">
      <c r="A761" s="827">
        <v>732</v>
      </c>
      <c r="B761" s="828" t="s">
        <v>274</v>
      </c>
      <c r="C761" s="828" t="s">
        <v>4604</v>
      </c>
      <c r="D761" s="829" t="s">
        <v>4605</v>
      </c>
      <c r="E761" s="831">
        <v>10</v>
      </c>
      <c r="F761" s="830" t="s">
        <v>4794</v>
      </c>
      <c r="G761" s="830" t="s">
        <v>4794</v>
      </c>
      <c r="H761" s="831">
        <v>10</v>
      </c>
      <c r="I761" s="831">
        <v>10</v>
      </c>
      <c r="J761" s="830" t="s">
        <v>4794</v>
      </c>
      <c r="K761" s="830" t="s">
        <v>4794</v>
      </c>
      <c r="L761" s="830" t="s">
        <v>4794</v>
      </c>
      <c r="M761" s="831">
        <v>10</v>
      </c>
      <c r="N761" s="830" t="s">
        <v>4794</v>
      </c>
      <c r="O761" s="830" t="s">
        <v>4794</v>
      </c>
      <c r="P761" s="830" t="s">
        <v>4794</v>
      </c>
      <c r="Q761" s="832">
        <f t="shared" si="10"/>
        <v>40</v>
      </c>
      <c r="R761" s="833" t="s">
        <v>4025</v>
      </c>
      <c r="S761" s="836"/>
      <c r="T761" s="872"/>
      <c r="U761" s="872"/>
      <c r="V761" s="872"/>
      <c r="W761" s="872"/>
      <c r="X761" s="872"/>
      <c r="Y761" s="872"/>
      <c r="Z761" s="872"/>
      <c r="AA761" s="872"/>
      <c r="AB761" s="872"/>
      <c r="AC761" s="872"/>
      <c r="AD761" s="872"/>
      <c r="AE761" s="872"/>
      <c r="AF761" s="837"/>
    </row>
    <row r="762" spans="1:32" ht="31.5">
      <c r="A762" s="827">
        <v>733</v>
      </c>
      <c r="B762" s="828" t="s">
        <v>274</v>
      </c>
      <c r="C762" s="828" t="s">
        <v>4606</v>
      </c>
      <c r="D762" s="829" t="s">
        <v>4607</v>
      </c>
      <c r="E762" s="830" t="s">
        <v>4794</v>
      </c>
      <c r="F762" s="831">
        <v>10</v>
      </c>
      <c r="G762" s="830" t="s">
        <v>4794</v>
      </c>
      <c r="H762" s="830" t="s">
        <v>4794</v>
      </c>
      <c r="I762" s="831">
        <v>10</v>
      </c>
      <c r="J762" s="830" t="s">
        <v>4794</v>
      </c>
      <c r="K762" s="830" t="s">
        <v>4794</v>
      </c>
      <c r="L762" s="830" t="s">
        <v>4794</v>
      </c>
      <c r="M762" s="831">
        <v>10</v>
      </c>
      <c r="N762" s="830" t="s">
        <v>4794</v>
      </c>
      <c r="O762" s="830" t="s">
        <v>4794</v>
      </c>
      <c r="P762" s="830" t="s">
        <v>4794</v>
      </c>
      <c r="Q762" s="832">
        <f t="shared" si="10"/>
        <v>30</v>
      </c>
      <c r="R762" s="833" t="s">
        <v>4025</v>
      </c>
      <c r="S762" s="836"/>
      <c r="T762" s="872"/>
      <c r="U762" s="872"/>
      <c r="V762" s="872"/>
      <c r="W762" s="872"/>
      <c r="X762" s="872"/>
      <c r="Y762" s="872"/>
      <c r="Z762" s="872"/>
      <c r="AA762" s="872"/>
      <c r="AB762" s="872"/>
      <c r="AC762" s="872"/>
      <c r="AD762" s="872"/>
      <c r="AE762" s="872"/>
      <c r="AF762" s="837"/>
    </row>
    <row r="763" spans="1:32" ht="31.5">
      <c r="A763" s="827">
        <v>734</v>
      </c>
      <c r="B763" s="828" t="s">
        <v>274</v>
      </c>
      <c r="C763" s="828" t="s">
        <v>4608</v>
      </c>
      <c r="D763" s="829" t="s">
        <v>4609</v>
      </c>
      <c r="E763" s="830" t="s">
        <v>4794</v>
      </c>
      <c r="F763" s="831">
        <v>10</v>
      </c>
      <c r="G763" s="830" t="s">
        <v>4794</v>
      </c>
      <c r="H763" s="830" t="s">
        <v>4794</v>
      </c>
      <c r="I763" s="831">
        <v>10</v>
      </c>
      <c r="J763" s="830" t="s">
        <v>4794</v>
      </c>
      <c r="K763" s="830" t="s">
        <v>4794</v>
      </c>
      <c r="L763" s="830" t="s">
        <v>4794</v>
      </c>
      <c r="M763" s="831">
        <v>10</v>
      </c>
      <c r="N763" s="830" t="s">
        <v>4794</v>
      </c>
      <c r="O763" s="830" t="s">
        <v>4794</v>
      </c>
      <c r="P763" s="830" t="s">
        <v>4794</v>
      </c>
      <c r="Q763" s="832">
        <f t="shared" si="10"/>
        <v>30</v>
      </c>
      <c r="R763" s="833" t="s">
        <v>4025</v>
      </c>
      <c r="S763" s="836"/>
      <c r="T763" s="872"/>
      <c r="U763" s="872"/>
      <c r="V763" s="872"/>
      <c r="W763" s="872"/>
      <c r="X763" s="872"/>
      <c r="Y763" s="872"/>
      <c r="Z763" s="872"/>
      <c r="AA763" s="872"/>
      <c r="AB763" s="872"/>
      <c r="AC763" s="872"/>
      <c r="AD763" s="872"/>
      <c r="AE763" s="872"/>
      <c r="AF763" s="837"/>
    </row>
    <row r="764" spans="1:32" ht="31.5">
      <c r="A764" s="827">
        <v>735</v>
      </c>
      <c r="B764" s="828" t="s">
        <v>274</v>
      </c>
      <c r="C764" s="828" t="s">
        <v>4610</v>
      </c>
      <c r="D764" s="829" t="s">
        <v>4611</v>
      </c>
      <c r="E764" s="830" t="s">
        <v>4794</v>
      </c>
      <c r="F764" s="831">
        <v>10</v>
      </c>
      <c r="G764" s="830" t="s">
        <v>4794</v>
      </c>
      <c r="H764" s="830" t="s">
        <v>4794</v>
      </c>
      <c r="I764" s="831">
        <v>10</v>
      </c>
      <c r="J764" s="830" t="s">
        <v>4794</v>
      </c>
      <c r="K764" s="830" t="s">
        <v>4794</v>
      </c>
      <c r="L764" s="830" t="s">
        <v>4794</v>
      </c>
      <c r="M764" s="831">
        <v>10</v>
      </c>
      <c r="N764" s="830" t="s">
        <v>4794</v>
      </c>
      <c r="O764" s="830" t="s">
        <v>4794</v>
      </c>
      <c r="P764" s="830" t="s">
        <v>4794</v>
      </c>
      <c r="Q764" s="832">
        <f t="shared" si="10"/>
        <v>30</v>
      </c>
      <c r="R764" s="833" t="s">
        <v>4025</v>
      </c>
      <c r="S764" s="836"/>
      <c r="T764" s="872"/>
      <c r="U764" s="872"/>
      <c r="V764" s="872"/>
      <c r="W764" s="872"/>
      <c r="X764" s="872"/>
      <c r="Y764" s="872"/>
      <c r="Z764" s="872"/>
      <c r="AA764" s="872"/>
      <c r="AB764" s="872"/>
      <c r="AC764" s="872"/>
      <c r="AD764" s="872"/>
      <c r="AE764" s="872"/>
      <c r="AF764" s="837"/>
    </row>
    <row r="765" spans="1:32" ht="31.5">
      <c r="A765" s="827">
        <v>736</v>
      </c>
      <c r="B765" s="828" t="s">
        <v>274</v>
      </c>
      <c r="C765" s="828" t="s">
        <v>4612</v>
      </c>
      <c r="D765" s="829" t="s">
        <v>4613</v>
      </c>
      <c r="E765" s="830" t="s">
        <v>4794</v>
      </c>
      <c r="F765" s="831">
        <v>10</v>
      </c>
      <c r="G765" s="830" t="s">
        <v>4794</v>
      </c>
      <c r="H765" s="830" t="s">
        <v>4794</v>
      </c>
      <c r="I765" s="830" t="s">
        <v>4794</v>
      </c>
      <c r="J765" s="830" t="s">
        <v>4794</v>
      </c>
      <c r="K765" s="831">
        <v>10</v>
      </c>
      <c r="L765" s="830" t="s">
        <v>4794</v>
      </c>
      <c r="M765" s="831">
        <v>10</v>
      </c>
      <c r="N765" s="830" t="s">
        <v>4794</v>
      </c>
      <c r="O765" s="830" t="s">
        <v>4794</v>
      </c>
      <c r="P765" s="830" t="s">
        <v>4794</v>
      </c>
      <c r="Q765" s="832">
        <f t="shared" si="10"/>
        <v>30</v>
      </c>
      <c r="R765" s="833" t="s">
        <v>4025</v>
      </c>
      <c r="S765" s="836"/>
      <c r="T765" s="872"/>
      <c r="U765" s="872"/>
      <c r="V765" s="872"/>
      <c r="W765" s="872"/>
      <c r="X765" s="872"/>
      <c r="Y765" s="872"/>
      <c r="Z765" s="872"/>
      <c r="AA765" s="872"/>
      <c r="AB765" s="872"/>
      <c r="AC765" s="872"/>
      <c r="AD765" s="872"/>
      <c r="AE765" s="872"/>
      <c r="AF765" s="837"/>
    </row>
    <row r="766" spans="1:32" ht="31.5">
      <c r="A766" s="827">
        <v>737</v>
      </c>
      <c r="B766" s="828" t="s">
        <v>274</v>
      </c>
      <c r="C766" s="828" t="s">
        <v>4614</v>
      </c>
      <c r="D766" s="829" t="s">
        <v>4615</v>
      </c>
      <c r="E766" s="830" t="s">
        <v>4794</v>
      </c>
      <c r="F766" s="831">
        <v>10</v>
      </c>
      <c r="G766" s="830" t="s">
        <v>4794</v>
      </c>
      <c r="H766" s="830" t="s">
        <v>4794</v>
      </c>
      <c r="I766" s="830" t="s">
        <v>4794</v>
      </c>
      <c r="J766" s="831">
        <v>10</v>
      </c>
      <c r="K766" s="830" t="s">
        <v>4794</v>
      </c>
      <c r="L766" s="830" t="s">
        <v>4794</v>
      </c>
      <c r="M766" s="831">
        <v>10</v>
      </c>
      <c r="N766" s="830" t="s">
        <v>4794</v>
      </c>
      <c r="O766" s="830" t="s">
        <v>4794</v>
      </c>
      <c r="P766" s="830" t="s">
        <v>4794</v>
      </c>
      <c r="Q766" s="832">
        <f t="shared" si="10"/>
        <v>30</v>
      </c>
      <c r="R766" s="833" t="s">
        <v>4025</v>
      </c>
      <c r="S766" s="836"/>
      <c r="T766" s="872"/>
      <c r="U766" s="872"/>
      <c r="V766" s="872"/>
      <c r="W766" s="872"/>
      <c r="X766" s="872"/>
      <c r="Y766" s="872"/>
      <c r="Z766" s="872"/>
      <c r="AA766" s="872"/>
      <c r="AB766" s="872"/>
      <c r="AC766" s="872"/>
      <c r="AD766" s="872"/>
      <c r="AE766" s="872"/>
      <c r="AF766" s="837"/>
    </row>
    <row r="767" spans="1:32" ht="31.5">
      <c r="A767" s="827">
        <v>738</v>
      </c>
      <c r="B767" s="828" t="s">
        <v>274</v>
      </c>
      <c r="C767" s="828" t="s">
        <v>4616</v>
      </c>
      <c r="D767" s="829" t="s">
        <v>4617</v>
      </c>
      <c r="E767" s="830" t="s">
        <v>4794</v>
      </c>
      <c r="F767" s="831">
        <v>10</v>
      </c>
      <c r="G767" s="830" t="s">
        <v>4794</v>
      </c>
      <c r="H767" s="830" t="s">
        <v>4794</v>
      </c>
      <c r="I767" s="830" t="s">
        <v>4794</v>
      </c>
      <c r="J767" s="831">
        <v>10</v>
      </c>
      <c r="K767" s="830" t="s">
        <v>4794</v>
      </c>
      <c r="L767" s="830" t="s">
        <v>4794</v>
      </c>
      <c r="M767" s="830" t="s">
        <v>4794</v>
      </c>
      <c r="N767" s="831">
        <v>10</v>
      </c>
      <c r="O767" s="830" t="s">
        <v>4794</v>
      </c>
      <c r="P767" s="830" t="s">
        <v>4794</v>
      </c>
      <c r="Q767" s="832">
        <f t="shared" si="10"/>
        <v>30</v>
      </c>
      <c r="R767" s="833" t="s">
        <v>4025</v>
      </c>
      <c r="S767" s="836"/>
      <c r="T767" s="872"/>
      <c r="U767" s="872"/>
      <c r="V767" s="872"/>
      <c r="W767" s="872"/>
      <c r="X767" s="872"/>
      <c r="Y767" s="872"/>
      <c r="Z767" s="872"/>
      <c r="AA767" s="872"/>
      <c r="AB767" s="872"/>
      <c r="AC767" s="872"/>
      <c r="AD767" s="872"/>
      <c r="AE767" s="872"/>
      <c r="AF767" s="837"/>
    </row>
    <row r="768" spans="1:32" ht="31.5">
      <c r="A768" s="827">
        <v>739</v>
      </c>
      <c r="B768" s="828" t="s">
        <v>274</v>
      </c>
      <c r="C768" s="828" t="s">
        <v>4618</v>
      </c>
      <c r="D768" s="829" t="s">
        <v>4619</v>
      </c>
      <c r="E768" s="830" t="s">
        <v>4794</v>
      </c>
      <c r="F768" s="831">
        <v>10</v>
      </c>
      <c r="G768" s="830" t="s">
        <v>4794</v>
      </c>
      <c r="H768" s="830" t="s">
        <v>4794</v>
      </c>
      <c r="I768" s="830" t="s">
        <v>4794</v>
      </c>
      <c r="J768" s="831">
        <v>10</v>
      </c>
      <c r="K768" s="830" t="s">
        <v>4794</v>
      </c>
      <c r="L768" s="830" t="s">
        <v>4794</v>
      </c>
      <c r="M768" s="830" t="s">
        <v>4794</v>
      </c>
      <c r="N768" s="831">
        <v>10</v>
      </c>
      <c r="O768" s="830" t="s">
        <v>4794</v>
      </c>
      <c r="P768" s="830" t="s">
        <v>4794</v>
      </c>
      <c r="Q768" s="832">
        <f t="shared" si="10"/>
        <v>30</v>
      </c>
      <c r="R768" s="833" t="s">
        <v>4025</v>
      </c>
      <c r="S768" s="836"/>
      <c r="T768" s="872"/>
      <c r="U768" s="872"/>
      <c r="V768" s="872"/>
      <c r="W768" s="872"/>
      <c r="X768" s="872"/>
      <c r="Y768" s="872"/>
      <c r="Z768" s="872"/>
      <c r="AA768" s="872"/>
      <c r="AB768" s="872"/>
      <c r="AC768" s="872"/>
      <c r="AD768" s="872"/>
      <c r="AE768" s="872"/>
      <c r="AF768" s="837"/>
    </row>
    <row r="769" spans="1:32" ht="31.5">
      <c r="A769" s="827">
        <v>740</v>
      </c>
      <c r="B769" s="828" t="s">
        <v>274</v>
      </c>
      <c r="C769" s="828" t="s">
        <v>4620</v>
      </c>
      <c r="D769" s="829" t="s">
        <v>4621</v>
      </c>
      <c r="E769" s="830" t="s">
        <v>4794</v>
      </c>
      <c r="F769" s="831">
        <v>10</v>
      </c>
      <c r="G769" s="830" t="s">
        <v>4794</v>
      </c>
      <c r="H769" s="831">
        <v>3</v>
      </c>
      <c r="I769" s="831">
        <v>3</v>
      </c>
      <c r="J769" s="831">
        <v>3</v>
      </c>
      <c r="K769" s="831">
        <v>1</v>
      </c>
      <c r="L769" s="830" t="s">
        <v>4794</v>
      </c>
      <c r="M769" s="830" t="s">
        <v>4794</v>
      </c>
      <c r="N769" s="831">
        <v>10</v>
      </c>
      <c r="O769" s="830" t="s">
        <v>4794</v>
      </c>
      <c r="P769" s="830" t="s">
        <v>4794</v>
      </c>
      <c r="Q769" s="832">
        <f t="shared" si="10"/>
        <v>30</v>
      </c>
      <c r="R769" s="833" t="s">
        <v>4025</v>
      </c>
      <c r="S769" s="836"/>
      <c r="T769" s="872"/>
      <c r="U769" s="872"/>
      <c r="V769" s="872"/>
      <c r="W769" s="872"/>
      <c r="X769" s="872"/>
      <c r="Y769" s="872"/>
      <c r="Z769" s="872"/>
      <c r="AA769" s="872"/>
      <c r="AB769" s="872"/>
      <c r="AC769" s="872"/>
      <c r="AD769" s="872"/>
      <c r="AE769" s="872"/>
      <c r="AF769" s="837"/>
    </row>
    <row r="770" spans="1:32" ht="31.5">
      <c r="A770" s="827">
        <v>741</v>
      </c>
      <c r="B770" s="828" t="s">
        <v>274</v>
      </c>
      <c r="C770" s="828" t="s">
        <v>4622</v>
      </c>
      <c r="D770" s="829" t="s">
        <v>4623</v>
      </c>
      <c r="E770" s="830" t="s">
        <v>4794</v>
      </c>
      <c r="F770" s="831">
        <v>10</v>
      </c>
      <c r="G770" s="830" t="s">
        <v>4794</v>
      </c>
      <c r="H770" s="831">
        <v>3</v>
      </c>
      <c r="I770" s="831">
        <v>3</v>
      </c>
      <c r="J770" s="831">
        <v>3</v>
      </c>
      <c r="K770" s="831">
        <v>1</v>
      </c>
      <c r="L770" s="830" t="s">
        <v>4794</v>
      </c>
      <c r="M770" s="830" t="s">
        <v>4794</v>
      </c>
      <c r="N770" s="831">
        <v>10</v>
      </c>
      <c r="O770" s="830" t="s">
        <v>4794</v>
      </c>
      <c r="P770" s="830" t="s">
        <v>4794</v>
      </c>
      <c r="Q770" s="832">
        <f t="shared" si="10"/>
        <v>30</v>
      </c>
      <c r="R770" s="833" t="s">
        <v>4025</v>
      </c>
      <c r="S770" s="836"/>
      <c r="T770" s="851"/>
      <c r="U770" s="851"/>
      <c r="V770" s="851"/>
      <c r="W770" s="851"/>
      <c r="X770" s="851"/>
      <c r="Y770" s="851"/>
      <c r="Z770" s="851"/>
      <c r="AA770" s="851"/>
      <c r="AB770" s="851"/>
      <c r="AC770" s="851"/>
      <c r="AD770" s="851"/>
      <c r="AE770" s="851"/>
      <c r="AF770" s="837"/>
    </row>
    <row r="771" spans="1:32" ht="31.5">
      <c r="A771" s="827">
        <v>742</v>
      </c>
      <c r="B771" s="828" t="s">
        <v>274</v>
      </c>
      <c r="C771" s="828" t="s">
        <v>4624</v>
      </c>
      <c r="D771" s="829" t="s">
        <v>4625</v>
      </c>
      <c r="E771" s="830" t="s">
        <v>4794</v>
      </c>
      <c r="F771" s="831">
        <v>10</v>
      </c>
      <c r="G771" s="830" t="s">
        <v>4794</v>
      </c>
      <c r="H771" s="831">
        <v>3</v>
      </c>
      <c r="I771" s="831">
        <v>3</v>
      </c>
      <c r="J771" s="831">
        <v>3</v>
      </c>
      <c r="K771" s="831">
        <v>1</v>
      </c>
      <c r="L771" s="830" t="s">
        <v>4794</v>
      </c>
      <c r="M771" s="830" t="s">
        <v>4794</v>
      </c>
      <c r="N771" s="831">
        <v>10</v>
      </c>
      <c r="O771" s="830" t="s">
        <v>4794</v>
      </c>
      <c r="P771" s="830" t="s">
        <v>4794</v>
      </c>
      <c r="Q771" s="832">
        <f t="shared" si="10"/>
        <v>30</v>
      </c>
      <c r="R771" s="833" t="s">
        <v>4025</v>
      </c>
      <c r="S771" s="836"/>
      <c r="T771" s="851"/>
      <c r="U771" s="851"/>
      <c r="V771" s="851"/>
      <c r="W771" s="851"/>
      <c r="X771" s="851"/>
      <c r="Y771" s="851"/>
      <c r="Z771" s="851"/>
      <c r="AA771" s="851"/>
      <c r="AB771" s="851"/>
      <c r="AC771" s="851"/>
      <c r="AD771" s="851"/>
      <c r="AE771" s="851"/>
      <c r="AF771" s="837"/>
    </row>
    <row r="772" spans="1:32" ht="42">
      <c r="A772" s="827">
        <v>743</v>
      </c>
      <c r="B772" s="828" t="s">
        <v>274</v>
      </c>
      <c r="C772" s="828" t="s">
        <v>4626</v>
      </c>
      <c r="D772" s="829" t="s">
        <v>4627</v>
      </c>
      <c r="E772" s="830" t="s">
        <v>4794</v>
      </c>
      <c r="F772" s="830" t="s">
        <v>4794</v>
      </c>
      <c r="G772" s="831">
        <v>10</v>
      </c>
      <c r="H772" s="831">
        <v>3</v>
      </c>
      <c r="I772" s="831">
        <v>3</v>
      </c>
      <c r="J772" s="831">
        <v>3</v>
      </c>
      <c r="K772" s="831">
        <v>1</v>
      </c>
      <c r="L772" s="830" t="s">
        <v>4794</v>
      </c>
      <c r="M772" s="830" t="s">
        <v>4794</v>
      </c>
      <c r="N772" s="831">
        <v>10</v>
      </c>
      <c r="O772" s="830" t="s">
        <v>4794</v>
      </c>
      <c r="P772" s="830" t="s">
        <v>4794</v>
      </c>
      <c r="Q772" s="832">
        <f t="shared" si="10"/>
        <v>30</v>
      </c>
      <c r="R772" s="833" t="s">
        <v>4025</v>
      </c>
      <c r="S772" s="836"/>
      <c r="T772" s="851"/>
      <c r="U772" s="851"/>
      <c r="V772" s="851"/>
      <c r="W772" s="851"/>
      <c r="X772" s="851"/>
      <c r="Y772" s="851"/>
      <c r="Z772" s="851"/>
      <c r="AA772" s="851"/>
      <c r="AB772" s="851"/>
      <c r="AC772" s="851"/>
      <c r="AD772" s="851"/>
      <c r="AE772" s="851"/>
      <c r="AF772" s="837"/>
    </row>
    <row r="773" spans="1:32" ht="31.5">
      <c r="A773" s="827">
        <v>744</v>
      </c>
      <c r="B773" s="828" t="s">
        <v>274</v>
      </c>
      <c r="C773" s="828" t="s">
        <v>4628</v>
      </c>
      <c r="D773" s="829" t="s">
        <v>4629</v>
      </c>
      <c r="E773" s="830" t="s">
        <v>4794</v>
      </c>
      <c r="F773" s="830" t="s">
        <v>4794</v>
      </c>
      <c r="G773" s="831">
        <v>10</v>
      </c>
      <c r="H773" s="831">
        <v>3</v>
      </c>
      <c r="I773" s="831">
        <v>3</v>
      </c>
      <c r="J773" s="831">
        <v>3</v>
      </c>
      <c r="K773" s="831">
        <v>1</v>
      </c>
      <c r="L773" s="830" t="s">
        <v>4794</v>
      </c>
      <c r="M773" s="830" t="s">
        <v>4794</v>
      </c>
      <c r="N773" s="831">
        <v>10</v>
      </c>
      <c r="O773" s="830" t="s">
        <v>4794</v>
      </c>
      <c r="P773" s="830" t="s">
        <v>4794</v>
      </c>
      <c r="Q773" s="832">
        <f t="shared" si="10"/>
        <v>30</v>
      </c>
      <c r="R773" s="833" t="s">
        <v>4025</v>
      </c>
      <c r="S773" s="836"/>
      <c r="T773" s="851"/>
      <c r="U773" s="851"/>
      <c r="V773" s="851"/>
      <c r="W773" s="851"/>
      <c r="X773" s="851"/>
      <c r="Y773" s="851"/>
      <c r="Z773" s="851"/>
      <c r="AA773" s="851"/>
      <c r="AB773" s="851"/>
      <c r="AC773" s="851"/>
      <c r="AD773" s="851"/>
      <c r="AE773" s="851"/>
      <c r="AF773" s="837"/>
    </row>
    <row r="774" spans="1:32" ht="31.5">
      <c r="A774" s="827">
        <v>745</v>
      </c>
      <c r="B774" s="828" t="s">
        <v>274</v>
      </c>
      <c r="C774" s="828" t="s">
        <v>4630</v>
      </c>
      <c r="D774" s="829" t="s">
        <v>4631</v>
      </c>
      <c r="E774" s="830" t="s">
        <v>4794</v>
      </c>
      <c r="F774" s="830" t="s">
        <v>4794</v>
      </c>
      <c r="G774" s="831">
        <v>10</v>
      </c>
      <c r="H774" s="831">
        <v>3</v>
      </c>
      <c r="I774" s="831">
        <v>3</v>
      </c>
      <c r="J774" s="831">
        <v>3</v>
      </c>
      <c r="K774" s="831">
        <v>1</v>
      </c>
      <c r="L774" s="830" t="s">
        <v>4794</v>
      </c>
      <c r="M774" s="830" t="s">
        <v>4794</v>
      </c>
      <c r="N774" s="831">
        <v>10</v>
      </c>
      <c r="O774" s="830" t="s">
        <v>4794</v>
      </c>
      <c r="P774" s="830" t="s">
        <v>4794</v>
      </c>
      <c r="Q774" s="832">
        <f t="shared" si="10"/>
        <v>30</v>
      </c>
      <c r="R774" s="833" t="s">
        <v>4025</v>
      </c>
      <c r="S774" s="834"/>
      <c r="T774" s="853"/>
      <c r="U774" s="853"/>
      <c r="V774" s="853"/>
      <c r="W774" s="853"/>
      <c r="X774" s="853"/>
      <c r="Y774" s="853"/>
      <c r="Z774" s="853"/>
      <c r="AA774" s="853"/>
      <c r="AB774" s="853"/>
      <c r="AC774" s="853"/>
      <c r="AD774" s="853"/>
      <c r="AE774" s="853"/>
      <c r="AF774" s="835"/>
    </row>
    <row r="775" spans="1:32" ht="31.5">
      <c r="A775" s="827">
        <v>746</v>
      </c>
      <c r="B775" s="828" t="s">
        <v>274</v>
      </c>
      <c r="C775" s="828" t="s">
        <v>4632</v>
      </c>
      <c r="D775" s="829" t="s">
        <v>4633</v>
      </c>
      <c r="E775" s="830" t="s">
        <v>4794</v>
      </c>
      <c r="F775" s="830" t="s">
        <v>4794</v>
      </c>
      <c r="G775" s="831">
        <v>10</v>
      </c>
      <c r="H775" s="831">
        <v>3</v>
      </c>
      <c r="I775" s="831">
        <v>3</v>
      </c>
      <c r="J775" s="831">
        <v>3</v>
      </c>
      <c r="K775" s="831">
        <v>1</v>
      </c>
      <c r="L775" s="830" t="s">
        <v>4794</v>
      </c>
      <c r="M775" s="830" t="s">
        <v>4794</v>
      </c>
      <c r="N775" s="831">
        <v>10</v>
      </c>
      <c r="O775" s="830" t="s">
        <v>4794</v>
      </c>
      <c r="P775" s="830" t="s">
        <v>4794</v>
      </c>
      <c r="Q775" s="832">
        <f t="shared" si="10"/>
        <v>30</v>
      </c>
      <c r="R775" s="833" t="s">
        <v>4025</v>
      </c>
      <c r="S775" s="836"/>
      <c r="T775" s="851"/>
      <c r="U775" s="851"/>
      <c r="V775" s="851"/>
      <c r="W775" s="851"/>
      <c r="X775" s="851"/>
      <c r="Y775" s="851"/>
      <c r="Z775" s="851"/>
      <c r="AA775" s="851"/>
      <c r="AB775" s="851"/>
      <c r="AC775" s="851"/>
      <c r="AD775" s="851"/>
      <c r="AE775" s="851"/>
      <c r="AF775" s="837"/>
    </row>
    <row r="776" spans="1:32" ht="31.5">
      <c r="A776" s="827">
        <v>747</v>
      </c>
      <c r="B776" s="828" t="s">
        <v>274</v>
      </c>
      <c r="C776" s="828" t="s">
        <v>4634</v>
      </c>
      <c r="D776" s="829" t="s">
        <v>4635</v>
      </c>
      <c r="E776" s="830" t="s">
        <v>4794</v>
      </c>
      <c r="F776" s="830" t="s">
        <v>4794</v>
      </c>
      <c r="G776" s="831">
        <v>10</v>
      </c>
      <c r="H776" s="831">
        <v>3</v>
      </c>
      <c r="I776" s="831">
        <v>3</v>
      </c>
      <c r="J776" s="831">
        <v>3</v>
      </c>
      <c r="K776" s="831">
        <v>1</v>
      </c>
      <c r="L776" s="830" t="s">
        <v>4794</v>
      </c>
      <c r="M776" s="830" t="s">
        <v>4794</v>
      </c>
      <c r="N776" s="831">
        <v>10</v>
      </c>
      <c r="O776" s="830" t="s">
        <v>4794</v>
      </c>
      <c r="P776" s="830" t="s">
        <v>4794</v>
      </c>
      <c r="Q776" s="832">
        <f t="shared" si="10"/>
        <v>30</v>
      </c>
      <c r="R776" s="833" t="s">
        <v>4025</v>
      </c>
      <c r="S776" s="836"/>
      <c r="T776" s="851"/>
      <c r="U776" s="851"/>
      <c r="V776" s="851"/>
      <c r="W776" s="851"/>
      <c r="X776" s="851"/>
      <c r="Y776" s="851"/>
      <c r="Z776" s="851"/>
      <c r="AA776" s="851"/>
      <c r="AB776" s="851"/>
      <c r="AC776" s="851"/>
      <c r="AD776" s="851"/>
      <c r="AE776" s="851"/>
      <c r="AF776" s="837"/>
    </row>
    <row r="777" spans="1:32" ht="31.5">
      <c r="A777" s="827">
        <v>748</v>
      </c>
      <c r="B777" s="828" t="s">
        <v>274</v>
      </c>
      <c r="C777" s="828" t="s">
        <v>4636</v>
      </c>
      <c r="D777" s="829" t="s">
        <v>4637</v>
      </c>
      <c r="E777" s="830" t="s">
        <v>4794</v>
      </c>
      <c r="F777" s="830" t="s">
        <v>4794</v>
      </c>
      <c r="G777" s="830" t="s">
        <v>4794</v>
      </c>
      <c r="H777" s="831">
        <v>2</v>
      </c>
      <c r="I777" s="830" t="s">
        <v>4794</v>
      </c>
      <c r="J777" s="831">
        <v>2</v>
      </c>
      <c r="K777" s="830" t="s">
        <v>4794</v>
      </c>
      <c r="L777" s="830" t="s">
        <v>4794</v>
      </c>
      <c r="M777" s="830" t="s">
        <v>4794</v>
      </c>
      <c r="N777" s="830" t="s">
        <v>4794</v>
      </c>
      <c r="O777" s="830" t="s">
        <v>4794</v>
      </c>
      <c r="P777" s="830" t="s">
        <v>4794</v>
      </c>
      <c r="Q777" s="832">
        <f t="shared" si="10"/>
        <v>4</v>
      </c>
      <c r="R777" s="833" t="s">
        <v>4025</v>
      </c>
      <c r="S777" s="836"/>
      <c r="T777" s="851"/>
      <c r="U777" s="851"/>
      <c r="V777" s="851"/>
      <c r="W777" s="851"/>
      <c r="X777" s="851"/>
      <c r="Y777" s="851"/>
      <c r="Z777" s="851"/>
      <c r="AA777" s="851"/>
      <c r="AB777" s="851"/>
      <c r="AC777" s="851"/>
      <c r="AD777" s="851"/>
      <c r="AE777" s="851"/>
      <c r="AF777" s="837"/>
    </row>
    <row r="778" spans="1:32" ht="21">
      <c r="A778" s="827">
        <v>749</v>
      </c>
      <c r="B778" s="828" t="s">
        <v>274</v>
      </c>
      <c r="C778" s="828" t="s">
        <v>4638</v>
      </c>
      <c r="D778" s="829" t="s">
        <v>4639</v>
      </c>
      <c r="E778" s="830" t="s">
        <v>4794</v>
      </c>
      <c r="F778" s="831">
        <v>3</v>
      </c>
      <c r="G778" s="830" t="s">
        <v>4794</v>
      </c>
      <c r="H778" s="830" t="s">
        <v>4794</v>
      </c>
      <c r="I778" s="830" t="s">
        <v>4794</v>
      </c>
      <c r="J778" s="830" t="s">
        <v>4794</v>
      </c>
      <c r="K778" s="830" t="s">
        <v>4794</v>
      </c>
      <c r="L778" s="831">
        <v>3</v>
      </c>
      <c r="M778" s="830" t="s">
        <v>4794</v>
      </c>
      <c r="N778" s="830" t="s">
        <v>4794</v>
      </c>
      <c r="O778" s="830" t="s">
        <v>4794</v>
      </c>
      <c r="P778" s="830" t="s">
        <v>4794</v>
      </c>
      <c r="Q778" s="832">
        <f t="shared" si="10"/>
        <v>6</v>
      </c>
      <c r="R778" s="833" t="s">
        <v>4025</v>
      </c>
      <c r="S778" s="836"/>
      <c r="T778" s="851"/>
      <c r="U778" s="851"/>
      <c r="V778" s="851"/>
      <c r="W778" s="851"/>
      <c r="X778" s="851"/>
      <c r="Y778" s="851"/>
      <c r="Z778" s="851"/>
      <c r="AA778" s="851"/>
      <c r="AB778" s="851"/>
      <c r="AC778" s="851"/>
      <c r="AD778" s="851"/>
      <c r="AE778" s="851"/>
      <c r="AF778" s="837"/>
    </row>
    <row r="779" spans="1:32" ht="21">
      <c r="A779" s="827">
        <v>750</v>
      </c>
      <c r="B779" s="828" t="s">
        <v>274</v>
      </c>
      <c r="C779" s="828" t="s">
        <v>4640</v>
      </c>
      <c r="D779" s="829" t="s">
        <v>4641</v>
      </c>
      <c r="E779" s="830" t="s">
        <v>4794</v>
      </c>
      <c r="F779" s="831">
        <v>3</v>
      </c>
      <c r="G779" s="830" t="s">
        <v>4794</v>
      </c>
      <c r="H779" s="830" t="s">
        <v>4794</v>
      </c>
      <c r="I779" s="830" t="s">
        <v>4794</v>
      </c>
      <c r="J779" s="830" t="s">
        <v>4794</v>
      </c>
      <c r="K779" s="830" t="s">
        <v>4794</v>
      </c>
      <c r="L779" s="830" t="s">
        <v>4794</v>
      </c>
      <c r="M779" s="830" t="s">
        <v>4794</v>
      </c>
      <c r="N779" s="831">
        <v>3</v>
      </c>
      <c r="O779" s="830" t="s">
        <v>4794</v>
      </c>
      <c r="P779" s="830" t="s">
        <v>4794</v>
      </c>
      <c r="Q779" s="832">
        <f t="shared" si="10"/>
        <v>6</v>
      </c>
      <c r="R779" s="833" t="s">
        <v>4025</v>
      </c>
      <c r="S779" s="836"/>
      <c r="T779" s="851"/>
      <c r="U779" s="851"/>
      <c r="V779" s="851"/>
      <c r="W779" s="851"/>
      <c r="X779" s="851"/>
      <c r="Y779" s="851"/>
      <c r="Z779" s="851"/>
      <c r="AA779" s="851"/>
      <c r="AB779" s="851"/>
      <c r="AC779" s="851"/>
      <c r="AD779" s="851"/>
      <c r="AE779" s="851"/>
      <c r="AF779" s="837"/>
    </row>
    <row r="780" spans="1:32" ht="21">
      <c r="A780" s="827">
        <v>751</v>
      </c>
      <c r="B780" s="828" t="s">
        <v>274</v>
      </c>
      <c r="C780" s="828" t="s">
        <v>4642</v>
      </c>
      <c r="D780" s="829" t="s">
        <v>4643</v>
      </c>
      <c r="E780" s="830" t="s">
        <v>4794</v>
      </c>
      <c r="F780" s="830" t="s">
        <v>4794</v>
      </c>
      <c r="G780" s="830" t="s">
        <v>4794</v>
      </c>
      <c r="H780" s="831">
        <v>3</v>
      </c>
      <c r="I780" s="830" t="s">
        <v>4794</v>
      </c>
      <c r="J780" s="830" t="s">
        <v>4794</v>
      </c>
      <c r="K780" s="830" t="s">
        <v>4794</v>
      </c>
      <c r="L780" s="830" t="s">
        <v>4794</v>
      </c>
      <c r="M780" s="830" t="s">
        <v>4794</v>
      </c>
      <c r="N780" s="830" t="s">
        <v>4794</v>
      </c>
      <c r="O780" s="830" t="s">
        <v>4794</v>
      </c>
      <c r="P780" s="830" t="s">
        <v>4794</v>
      </c>
      <c r="Q780" s="832">
        <f t="shared" si="10"/>
        <v>3</v>
      </c>
      <c r="R780" s="833" t="s">
        <v>4025</v>
      </c>
      <c r="S780" s="836"/>
      <c r="T780" s="851"/>
      <c r="U780" s="851"/>
      <c r="V780" s="851"/>
      <c r="W780" s="851"/>
      <c r="X780" s="851"/>
      <c r="Y780" s="851"/>
      <c r="Z780" s="851"/>
      <c r="AA780" s="851"/>
      <c r="AB780" s="851"/>
      <c r="AC780" s="851"/>
      <c r="AD780" s="851"/>
      <c r="AE780" s="851"/>
      <c r="AF780" s="837"/>
    </row>
    <row r="781" spans="1:32" ht="31.5">
      <c r="A781" s="827">
        <v>752</v>
      </c>
      <c r="B781" s="828" t="s">
        <v>274</v>
      </c>
      <c r="C781" s="828" t="s">
        <v>4644</v>
      </c>
      <c r="D781" s="829" t="s">
        <v>4645</v>
      </c>
      <c r="E781" s="830" t="s">
        <v>4794</v>
      </c>
      <c r="F781" s="830" t="s">
        <v>4794</v>
      </c>
      <c r="G781" s="830" t="s">
        <v>4794</v>
      </c>
      <c r="H781" s="830" t="s">
        <v>4794</v>
      </c>
      <c r="I781" s="831">
        <v>1</v>
      </c>
      <c r="J781" s="830" t="s">
        <v>4794</v>
      </c>
      <c r="K781" s="831">
        <v>1</v>
      </c>
      <c r="L781" s="830" t="s">
        <v>4794</v>
      </c>
      <c r="M781" s="830" t="s">
        <v>4794</v>
      </c>
      <c r="N781" s="830" t="s">
        <v>4794</v>
      </c>
      <c r="O781" s="830" t="s">
        <v>4794</v>
      </c>
      <c r="P781" s="830" t="s">
        <v>4794</v>
      </c>
      <c r="Q781" s="832">
        <f t="shared" si="10"/>
        <v>2</v>
      </c>
      <c r="R781" s="833" t="s">
        <v>4025</v>
      </c>
      <c r="S781" s="836"/>
      <c r="T781" s="893"/>
      <c r="U781" s="893"/>
      <c r="V781" s="893"/>
      <c r="W781" s="893"/>
      <c r="X781" s="893"/>
      <c r="Y781" s="893"/>
      <c r="Z781" s="893"/>
      <c r="AA781" s="893"/>
      <c r="AB781" s="893"/>
      <c r="AC781" s="893"/>
      <c r="AD781" s="893"/>
      <c r="AE781" s="893"/>
      <c r="AF781" s="837"/>
    </row>
    <row r="782" spans="1:32" ht="42">
      <c r="A782" s="827">
        <v>753</v>
      </c>
      <c r="B782" s="828" t="s">
        <v>274</v>
      </c>
      <c r="C782" s="828"/>
      <c r="D782" s="829" t="s">
        <v>4646</v>
      </c>
      <c r="E782" s="830"/>
      <c r="F782" s="830"/>
      <c r="G782" s="830"/>
      <c r="H782" s="830"/>
      <c r="I782" s="830"/>
      <c r="J782" s="830"/>
      <c r="K782" s="831">
        <v>1</v>
      </c>
      <c r="L782" s="830"/>
      <c r="M782" s="830"/>
      <c r="N782" s="830"/>
      <c r="O782" s="830"/>
      <c r="P782" s="830"/>
      <c r="Q782" s="832"/>
      <c r="R782" s="833"/>
      <c r="S782" s="836"/>
      <c r="T782" s="851"/>
      <c r="U782" s="851"/>
      <c r="V782" s="851"/>
      <c r="W782" s="851"/>
      <c r="X782" s="851"/>
      <c r="Y782" s="851"/>
      <c r="Z782" s="851"/>
      <c r="AA782" s="851"/>
      <c r="AB782" s="851"/>
      <c r="AC782" s="851"/>
      <c r="AD782" s="851"/>
      <c r="AE782" s="851"/>
      <c r="AF782" s="837"/>
    </row>
    <row r="783" spans="1:32" ht="31.5">
      <c r="A783" s="827">
        <v>754</v>
      </c>
      <c r="B783" s="828" t="s">
        <v>274</v>
      </c>
      <c r="C783" s="828" t="s">
        <v>4647</v>
      </c>
      <c r="D783" s="829" t="s">
        <v>4648</v>
      </c>
      <c r="E783" s="830" t="s">
        <v>4794</v>
      </c>
      <c r="F783" s="830" t="s">
        <v>4794</v>
      </c>
      <c r="G783" s="830"/>
      <c r="H783" s="831">
        <v>2</v>
      </c>
      <c r="I783" s="830" t="s">
        <v>4794</v>
      </c>
      <c r="J783" s="830" t="s">
        <v>4794</v>
      </c>
      <c r="K783" s="831">
        <v>1</v>
      </c>
      <c r="L783" s="830" t="s">
        <v>4794</v>
      </c>
      <c r="M783" s="831">
        <v>2</v>
      </c>
      <c r="N783" s="830" t="s">
        <v>4794</v>
      </c>
      <c r="O783" s="830" t="s">
        <v>4794</v>
      </c>
      <c r="P783" s="830" t="s">
        <v>4794</v>
      </c>
      <c r="Q783" s="832">
        <f t="shared" si="10"/>
        <v>5</v>
      </c>
      <c r="R783" s="833" t="s">
        <v>4025</v>
      </c>
      <c r="S783" s="836"/>
      <c r="T783" s="851"/>
      <c r="U783" s="851"/>
      <c r="V783" s="851"/>
      <c r="W783" s="851"/>
      <c r="X783" s="851"/>
      <c r="Y783" s="851"/>
      <c r="Z783" s="851"/>
      <c r="AA783" s="851"/>
      <c r="AB783" s="851"/>
      <c r="AC783" s="851"/>
      <c r="AD783" s="851"/>
      <c r="AE783" s="851"/>
      <c r="AF783" s="837"/>
    </row>
    <row r="784" spans="1:32" ht="52.5">
      <c r="A784" s="827">
        <v>755</v>
      </c>
      <c r="B784" s="828" t="s">
        <v>274</v>
      </c>
      <c r="C784" s="828" t="s">
        <v>4649</v>
      </c>
      <c r="D784" s="829" t="s">
        <v>4650</v>
      </c>
      <c r="E784" s="830" t="s">
        <v>4794</v>
      </c>
      <c r="F784" s="830"/>
      <c r="G784" s="830" t="s">
        <v>4794</v>
      </c>
      <c r="H784" s="830" t="s">
        <v>4794</v>
      </c>
      <c r="I784" s="831">
        <v>5</v>
      </c>
      <c r="J784" s="831">
        <v>1</v>
      </c>
      <c r="K784" s="830" t="s">
        <v>4794</v>
      </c>
      <c r="L784" s="830" t="s">
        <v>4794</v>
      </c>
      <c r="M784" s="830" t="s">
        <v>4794</v>
      </c>
      <c r="N784" s="831">
        <v>5</v>
      </c>
      <c r="O784" s="830" t="s">
        <v>4794</v>
      </c>
      <c r="P784" s="830" t="s">
        <v>4794</v>
      </c>
      <c r="Q784" s="832">
        <f t="shared" si="10"/>
        <v>11</v>
      </c>
      <c r="R784" s="833" t="s">
        <v>4025</v>
      </c>
      <c r="S784" s="836"/>
      <c r="T784" s="851"/>
      <c r="U784" s="851"/>
      <c r="V784" s="851"/>
      <c r="W784" s="851"/>
      <c r="X784" s="851"/>
      <c r="Y784" s="851"/>
      <c r="Z784" s="851"/>
      <c r="AA784" s="851"/>
      <c r="AB784" s="851"/>
      <c r="AC784" s="851"/>
      <c r="AD784" s="851"/>
      <c r="AE784" s="851"/>
      <c r="AF784" s="837"/>
    </row>
    <row r="785" spans="1:32" ht="52.5">
      <c r="A785" s="827">
        <v>756</v>
      </c>
      <c r="B785" s="828" t="s">
        <v>274</v>
      </c>
      <c r="C785" s="828" t="s">
        <v>4651</v>
      </c>
      <c r="D785" s="829" t="s">
        <v>4652</v>
      </c>
      <c r="E785" s="830" t="s">
        <v>4794</v>
      </c>
      <c r="F785" s="830" t="s">
        <v>4794</v>
      </c>
      <c r="G785" s="830" t="s">
        <v>4794</v>
      </c>
      <c r="H785" s="830"/>
      <c r="I785" s="831">
        <v>5</v>
      </c>
      <c r="J785" s="830" t="s">
        <v>4794</v>
      </c>
      <c r="K785" s="831">
        <v>1</v>
      </c>
      <c r="L785" s="830" t="s">
        <v>4794</v>
      </c>
      <c r="M785" s="830" t="s">
        <v>4794</v>
      </c>
      <c r="N785" s="831">
        <v>5</v>
      </c>
      <c r="O785" s="830" t="s">
        <v>4794</v>
      </c>
      <c r="P785" s="830" t="s">
        <v>4794</v>
      </c>
      <c r="Q785" s="832">
        <f t="shared" si="10"/>
        <v>11</v>
      </c>
      <c r="R785" s="833" t="s">
        <v>4025</v>
      </c>
      <c r="S785" s="836"/>
      <c r="T785" s="851"/>
      <c r="U785" s="851"/>
      <c r="V785" s="851"/>
      <c r="W785" s="851"/>
      <c r="X785" s="851"/>
      <c r="Y785" s="851"/>
      <c r="Z785" s="851"/>
      <c r="AA785" s="851"/>
      <c r="AB785" s="851"/>
      <c r="AC785" s="851"/>
      <c r="AD785" s="851"/>
      <c r="AE785" s="851"/>
      <c r="AF785" s="837"/>
    </row>
    <row r="786" spans="1:32" ht="42">
      <c r="A786" s="827">
        <v>757</v>
      </c>
      <c r="B786" s="828" t="s">
        <v>274</v>
      </c>
      <c r="C786" s="828" t="s">
        <v>4653</v>
      </c>
      <c r="D786" s="829" t="s">
        <v>4654</v>
      </c>
      <c r="E786" s="831">
        <v>10</v>
      </c>
      <c r="F786" s="831">
        <v>10</v>
      </c>
      <c r="G786" s="831">
        <v>10</v>
      </c>
      <c r="H786" s="831">
        <v>10</v>
      </c>
      <c r="I786" s="831">
        <v>12</v>
      </c>
      <c r="J786" s="831">
        <v>6</v>
      </c>
      <c r="K786" s="831">
        <v>6</v>
      </c>
      <c r="L786" s="831">
        <v>10</v>
      </c>
      <c r="M786" s="831">
        <v>10</v>
      </c>
      <c r="N786" s="831">
        <v>10</v>
      </c>
      <c r="O786" s="831">
        <v>10</v>
      </c>
      <c r="P786" s="831">
        <v>10</v>
      </c>
      <c r="Q786" s="832">
        <f t="shared" si="10"/>
        <v>114</v>
      </c>
      <c r="R786" s="833" t="s">
        <v>4025</v>
      </c>
      <c r="S786" s="836"/>
      <c r="T786" s="851"/>
      <c r="U786" s="851"/>
      <c r="V786" s="851"/>
      <c r="W786" s="851"/>
      <c r="X786" s="851"/>
      <c r="Y786" s="851"/>
      <c r="Z786" s="851"/>
      <c r="AA786" s="851"/>
      <c r="AB786" s="851"/>
      <c r="AC786" s="851"/>
      <c r="AD786" s="851"/>
      <c r="AE786" s="851"/>
      <c r="AF786" s="837"/>
    </row>
    <row r="787" spans="1:32" ht="63">
      <c r="A787" s="827">
        <v>758</v>
      </c>
      <c r="B787" s="828" t="s">
        <v>274</v>
      </c>
      <c r="C787" s="828" t="s">
        <v>4655</v>
      </c>
      <c r="D787" s="829" t="s">
        <v>346</v>
      </c>
      <c r="E787" s="830" t="s">
        <v>4794</v>
      </c>
      <c r="F787" s="830" t="s">
        <v>4794</v>
      </c>
      <c r="G787" s="830" t="s">
        <v>4794</v>
      </c>
      <c r="H787" s="830"/>
      <c r="I787" s="830" t="s">
        <v>4794</v>
      </c>
      <c r="J787" s="831">
        <v>1</v>
      </c>
      <c r="K787" s="830" t="s">
        <v>4794</v>
      </c>
      <c r="L787" s="830" t="s">
        <v>4794</v>
      </c>
      <c r="M787" s="830" t="s">
        <v>4794</v>
      </c>
      <c r="N787" s="830" t="s">
        <v>4794</v>
      </c>
      <c r="O787" s="830" t="s">
        <v>4794</v>
      </c>
      <c r="P787" s="830" t="s">
        <v>4794</v>
      </c>
      <c r="Q787" s="832">
        <f t="shared" ref="Q787:Q851" si="11">SUM(E787:P787)</f>
        <v>1</v>
      </c>
      <c r="R787" s="833" t="s">
        <v>4025</v>
      </c>
      <c r="S787" s="836"/>
      <c r="T787" s="851"/>
      <c r="U787" s="851"/>
      <c r="V787" s="851"/>
      <c r="W787" s="851"/>
      <c r="X787" s="851"/>
      <c r="Y787" s="851"/>
      <c r="Z787" s="851"/>
      <c r="AA787" s="851"/>
      <c r="AB787" s="851"/>
      <c r="AC787" s="851"/>
      <c r="AD787" s="851"/>
      <c r="AE787" s="851"/>
      <c r="AF787" s="837"/>
    </row>
    <row r="788" spans="1:32" ht="21">
      <c r="A788" s="827">
        <v>759</v>
      </c>
      <c r="B788" s="828" t="s">
        <v>274</v>
      </c>
      <c r="C788" s="828" t="s">
        <v>347</v>
      </c>
      <c r="D788" s="829" t="s">
        <v>348</v>
      </c>
      <c r="E788" s="830" t="s">
        <v>4794</v>
      </c>
      <c r="F788" s="830" t="s">
        <v>4794</v>
      </c>
      <c r="G788" s="830" t="s">
        <v>4794</v>
      </c>
      <c r="H788" s="830"/>
      <c r="I788" s="830" t="s">
        <v>4794</v>
      </c>
      <c r="J788" s="831">
        <v>1</v>
      </c>
      <c r="K788" s="830" t="s">
        <v>4794</v>
      </c>
      <c r="L788" s="830" t="s">
        <v>4794</v>
      </c>
      <c r="M788" s="830" t="s">
        <v>4794</v>
      </c>
      <c r="N788" s="830" t="s">
        <v>4794</v>
      </c>
      <c r="O788" s="830" t="s">
        <v>4794</v>
      </c>
      <c r="P788" s="830" t="s">
        <v>4794</v>
      </c>
      <c r="Q788" s="832">
        <f t="shared" si="11"/>
        <v>1</v>
      </c>
      <c r="R788" s="833" t="s">
        <v>4025</v>
      </c>
      <c r="S788" s="836"/>
      <c r="T788" s="851"/>
      <c r="U788" s="851"/>
      <c r="V788" s="851"/>
      <c r="W788" s="851"/>
      <c r="X788" s="851"/>
      <c r="Y788" s="851"/>
      <c r="Z788" s="851"/>
      <c r="AA788" s="851"/>
      <c r="AB788" s="851"/>
      <c r="AC788" s="851"/>
      <c r="AD788" s="851"/>
      <c r="AE788" s="851"/>
      <c r="AF788" s="837"/>
    </row>
    <row r="789" spans="1:32" ht="42">
      <c r="A789" s="827">
        <v>760</v>
      </c>
      <c r="B789" s="828" t="s">
        <v>274</v>
      </c>
      <c r="C789" s="828" t="s">
        <v>349</v>
      </c>
      <c r="D789" s="829" t="s">
        <v>350</v>
      </c>
      <c r="E789" s="830" t="s">
        <v>4794</v>
      </c>
      <c r="F789" s="830" t="s">
        <v>4794</v>
      </c>
      <c r="G789" s="830" t="s">
        <v>4794</v>
      </c>
      <c r="H789" s="830" t="s">
        <v>4794</v>
      </c>
      <c r="I789" s="831">
        <v>1</v>
      </c>
      <c r="J789" s="830" t="s">
        <v>4794</v>
      </c>
      <c r="K789" s="830" t="s">
        <v>4794</v>
      </c>
      <c r="L789" s="830" t="s">
        <v>4794</v>
      </c>
      <c r="M789" s="830" t="s">
        <v>4794</v>
      </c>
      <c r="N789" s="830" t="s">
        <v>4794</v>
      </c>
      <c r="O789" s="830" t="s">
        <v>4794</v>
      </c>
      <c r="P789" s="830" t="s">
        <v>4794</v>
      </c>
      <c r="Q789" s="832">
        <f t="shared" si="11"/>
        <v>1</v>
      </c>
      <c r="R789" s="833" t="s">
        <v>4025</v>
      </c>
      <c r="S789" s="836"/>
      <c r="T789" s="851"/>
      <c r="U789" s="851"/>
      <c r="V789" s="851"/>
      <c r="W789" s="851"/>
      <c r="X789" s="851"/>
      <c r="Y789" s="851"/>
      <c r="Z789" s="851"/>
      <c r="AA789" s="851"/>
      <c r="AB789" s="851"/>
      <c r="AC789" s="851"/>
      <c r="AD789" s="851"/>
      <c r="AE789" s="851"/>
      <c r="AF789" s="837"/>
    </row>
    <row r="790" spans="1:32" ht="42">
      <c r="A790" s="827">
        <v>761</v>
      </c>
      <c r="B790" s="828" t="s">
        <v>274</v>
      </c>
      <c r="C790" s="828" t="s">
        <v>351</v>
      </c>
      <c r="D790" s="829" t="s">
        <v>352</v>
      </c>
      <c r="E790" s="830" t="s">
        <v>4794</v>
      </c>
      <c r="F790" s="830" t="s">
        <v>4794</v>
      </c>
      <c r="G790" s="830" t="s">
        <v>4794</v>
      </c>
      <c r="H790" s="830" t="s">
        <v>4794</v>
      </c>
      <c r="I790" s="831">
        <v>1</v>
      </c>
      <c r="J790" s="830" t="s">
        <v>4794</v>
      </c>
      <c r="K790" s="830" t="s">
        <v>4794</v>
      </c>
      <c r="L790" s="830" t="s">
        <v>4794</v>
      </c>
      <c r="M790" s="830" t="s">
        <v>4794</v>
      </c>
      <c r="N790" s="830" t="s">
        <v>4794</v>
      </c>
      <c r="O790" s="830" t="s">
        <v>4794</v>
      </c>
      <c r="P790" s="830" t="s">
        <v>4794</v>
      </c>
      <c r="Q790" s="832">
        <f t="shared" si="11"/>
        <v>1</v>
      </c>
      <c r="R790" s="833" t="s">
        <v>4025</v>
      </c>
      <c r="S790" s="836"/>
      <c r="T790" s="851"/>
      <c r="U790" s="851"/>
      <c r="V790" s="851"/>
      <c r="W790" s="851"/>
      <c r="X790" s="851"/>
      <c r="Y790" s="851"/>
      <c r="Z790" s="851"/>
      <c r="AA790" s="851"/>
      <c r="AB790" s="851"/>
      <c r="AC790" s="851"/>
      <c r="AD790" s="851"/>
      <c r="AE790" s="851"/>
      <c r="AF790" s="837"/>
    </row>
    <row r="791" spans="1:32" ht="84">
      <c r="A791" s="827">
        <v>762</v>
      </c>
      <c r="B791" s="828" t="s">
        <v>274</v>
      </c>
      <c r="C791" s="828" t="s">
        <v>353</v>
      </c>
      <c r="D791" s="829" t="s">
        <v>354</v>
      </c>
      <c r="E791" s="830" t="s">
        <v>4794</v>
      </c>
      <c r="F791" s="830" t="s">
        <v>4794</v>
      </c>
      <c r="G791" s="830" t="s">
        <v>4794</v>
      </c>
      <c r="H791" s="830" t="s">
        <v>4794</v>
      </c>
      <c r="I791" s="831">
        <v>1</v>
      </c>
      <c r="J791" s="830" t="s">
        <v>4794</v>
      </c>
      <c r="K791" s="830" t="s">
        <v>4794</v>
      </c>
      <c r="L791" s="830" t="s">
        <v>4794</v>
      </c>
      <c r="M791" s="830" t="s">
        <v>4794</v>
      </c>
      <c r="N791" s="830" t="s">
        <v>4794</v>
      </c>
      <c r="O791" s="830" t="s">
        <v>4794</v>
      </c>
      <c r="P791" s="830" t="s">
        <v>4794</v>
      </c>
      <c r="Q791" s="832">
        <f t="shared" si="11"/>
        <v>1</v>
      </c>
      <c r="R791" s="833" t="s">
        <v>4025</v>
      </c>
      <c r="S791" s="836"/>
      <c r="T791" s="851"/>
      <c r="U791" s="851"/>
      <c r="V791" s="851"/>
      <c r="W791" s="851"/>
      <c r="X791" s="851"/>
      <c r="Y791" s="851"/>
      <c r="Z791" s="851"/>
      <c r="AA791" s="851"/>
      <c r="AB791" s="851"/>
      <c r="AC791" s="851"/>
      <c r="AD791" s="851"/>
      <c r="AE791" s="851"/>
      <c r="AF791" s="837"/>
    </row>
    <row r="792" spans="1:32" ht="52.5">
      <c r="A792" s="827">
        <v>763</v>
      </c>
      <c r="B792" s="828" t="s">
        <v>274</v>
      </c>
      <c r="C792" s="828" t="s">
        <v>355</v>
      </c>
      <c r="D792" s="829" t="s">
        <v>356</v>
      </c>
      <c r="E792" s="830" t="s">
        <v>4794</v>
      </c>
      <c r="F792" s="830" t="s">
        <v>4794</v>
      </c>
      <c r="G792" s="830" t="s">
        <v>4794</v>
      </c>
      <c r="H792" s="830" t="s">
        <v>4794</v>
      </c>
      <c r="I792" s="831">
        <v>1</v>
      </c>
      <c r="J792" s="830" t="s">
        <v>4794</v>
      </c>
      <c r="K792" s="830" t="s">
        <v>4794</v>
      </c>
      <c r="L792" s="830" t="s">
        <v>4794</v>
      </c>
      <c r="M792" s="830" t="s">
        <v>4794</v>
      </c>
      <c r="N792" s="830" t="s">
        <v>4794</v>
      </c>
      <c r="O792" s="830" t="s">
        <v>4794</v>
      </c>
      <c r="P792" s="830" t="s">
        <v>4794</v>
      </c>
      <c r="Q792" s="832">
        <f t="shared" si="11"/>
        <v>1</v>
      </c>
      <c r="R792" s="833" t="s">
        <v>4025</v>
      </c>
      <c r="S792" s="836"/>
      <c r="T792" s="851"/>
      <c r="U792" s="851"/>
      <c r="V792" s="851"/>
      <c r="W792" s="851"/>
      <c r="X792" s="851"/>
      <c r="Y792" s="851"/>
      <c r="Z792" s="851"/>
      <c r="AA792" s="851"/>
      <c r="AB792" s="851"/>
      <c r="AC792" s="851"/>
      <c r="AD792" s="851"/>
      <c r="AE792" s="851"/>
      <c r="AF792" s="837"/>
    </row>
    <row r="793" spans="1:32" ht="63">
      <c r="A793" s="827">
        <v>764</v>
      </c>
      <c r="B793" s="828" t="s">
        <v>274</v>
      </c>
      <c r="C793" s="828" t="s">
        <v>357</v>
      </c>
      <c r="D793" s="829" t="s">
        <v>358</v>
      </c>
      <c r="E793" s="830" t="s">
        <v>4794</v>
      </c>
      <c r="F793" s="830" t="s">
        <v>4794</v>
      </c>
      <c r="G793" s="830" t="s">
        <v>4794</v>
      </c>
      <c r="H793" s="830" t="s">
        <v>4794</v>
      </c>
      <c r="I793" s="831">
        <v>1</v>
      </c>
      <c r="J793" s="830" t="s">
        <v>4794</v>
      </c>
      <c r="K793" s="830" t="s">
        <v>4794</v>
      </c>
      <c r="L793" s="830" t="s">
        <v>4794</v>
      </c>
      <c r="M793" s="830" t="s">
        <v>4794</v>
      </c>
      <c r="N793" s="830" t="s">
        <v>4794</v>
      </c>
      <c r="O793" s="830" t="s">
        <v>4794</v>
      </c>
      <c r="P793" s="830" t="s">
        <v>4794</v>
      </c>
      <c r="Q793" s="832">
        <f t="shared" si="11"/>
        <v>1</v>
      </c>
      <c r="R793" s="833" t="s">
        <v>4025</v>
      </c>
      <c r="S793" s="836"/>
      <c r="T793" s="851"/>
      <c r="U793" s="851"/>
      <c r="V793" s="851"/>
      <c r="W793" s="851"/>
      <c r="X793" s="851"/>
      <c r="Y793" s="851"/>
      <c r="Z793" s="851"/>
      <c r="AA793" s="851"/>
      <c r="AB793" s="851"/>
      <c r="AC793" s="851"/>
      <c r="AD793" s="851"/>
      <c r="AE793" s="851"/>
      <c r="AF793" s="837"/>
    </row>
    <row r="794" spans="1:32" ht="42">
      <c r="A794" s="827">
        <v>765</v>
      </c>
      <c r="B794" s="828" t="s">
        <v>274</v>
      </c>
      <c r="C794" s="828" t="s">
        <v>359</v>
      </c>
      <c r="D794" s="829" t="s">
        <v>360</v>
      </c>
      <c r="E794" s="830" t="s">
        <v>4794</v>
      </c>
      <c r="F794" s="830" t="s">
        <v>4794</v>
      </c>
      <c r="G794" s="830" t="s">
        <v>4794</v>
      </c>
      <c r="H794" s="830" t="s">
        <v>4794</v>
      </c>
      <c r="I794" s="831">
        <v>1</v>
      </c>
      <c r="J794" s="830" t="s">
        <v>4794</v>
      </c>
      <c r="K794" s="830" t="s">
        <v>4794</v>
      </c>
      <c r="L794" s="830" t="s">
        <v>4794</v>
      </c>
      <c r="M794" s="830" t="s">
        <v>4794</v>
      </c>
      <c r="N794" s="830" t="s">
        <v>4794</v>
      </c>
      <c r="O794" s="830" t="s">
        <v>4794</v>
      </c>
      <c r="P794" s="830" t="s">
        <v>4794</v>
      </c>
      <c r="Q794" s="832">
        <f t="shared" si="11"/>
        <v>1</v>
      </c>
      <c r="R794" s="833" t="s">
        <v>4025</v>
      </c>
      <c r="S794" s="836"/>
      <c r="T794" s="851"/>
      <c r="U794" s="851"/>
      <c r="V794" s="851"/>
      <c r="W794" s="851"/>
      <c r="X794" s="851"/>
      <c r="Y794" s="851"/>
      <c r="Z794" s="851"/>
      <c r="AA794" s="851"/>
      <c r="AB794" s="851"/>
      <c r="AC794" s="851"/>
      <c r="AD794" s="851"/>
      <c r="AE794" s="851"/>
      <c r="AF794" s="837"/>
    </row>
    <row r="795" spans="1:32" ht="52.5">
      <c r="A795" s="827">
        <v>766</v>
      </c>
      <c r="B795" s="828" t="s">
        <v>274</v>
      </c>
      <c r="C795" s="828" t="s">
        <v>361</v>
      </c>
      <c r="D795" s="829" t="s">
        <v>362</v>
      </c>
      <c r="E795" s="830" t="s">
        <v>4794</v>
      </c>
      <c r="F795" s="830" t="s">
        <v>4794</v>
      </c>
      <c r="G795" s="830" t="s">
        <v>4794</v>
      </c>
      <c r="H795" s="830" t="s">
        <v>4794</v>
      </c>
      <c r="I795" s="831">
        <v>1</v>
      </c>
      <c r="J795" s="830" t="s">
        <v>4794</v>
      </c>
      <c r="K795" s="830" t="s">
        <v>4794</v>
      </c>
      <c r="L795" s="830" t="s">
        <v>4794</v>
      </c>
      <c r="M795" s="830" t="s">
        <v>4794</v>
      </c>
      <c r="N795" s="830" t="s">
        <v>4794</v>
      </c>
      <c r="O795" s="830" t="s">
        <v>4794</v>
      </c>
      <c r="P795" s="830" t="s">
        <v>4794</v>
      </c>
      <c r="Q795" s="832">
        <f t="shared" si="11"/>
        <v>1</v>
      </c>
      <c r="R795" s="833" t="s">
        <v>4025</v>
      </c>
      <c r="S795" s="859"/>
      <c r="T795" s="859"/>
      <c r="U795" s="859"/>
      <c r="V795" s="859"/>
      <c r="W795" s="859"/>
      <c r="X795" s="859"/>
      <c r="Y795" s="859"/>
      <c r="Z795" s="859"/>
      <c r="AA795" s="859"/>
      <c r="AB795" s="859"/>
      <c r="AC795" s="859"/>
      <c r="AD795" s="859"/>
      <c r="AE795" s="859"/>
      <c r="AF795" s="859"/>
    </row>
    <row r="796" spans="1:32" ht="63">
      <c r="A796" s="827">
        <v>767</v>
      </c>
      <c r="B796" s="828" t="s">
        <v>274</v>
      </c>
      <c r="C796" s="828" t="s">
        <v>363</v>
      </c>
      <c r="D796" s="829" t="s">
        <v>364</v>
      </c>
      <c r="E796" s="830" t="s">
        <v>4794</v>
      </c>
      <c r="F796" s="830" t="s">
        <v>4794</v>
      </c>
      <c r="G796" s="830" t="s">
        <v>4794</v>
      </c>
      <c r="H796" s="830" t="s">
        <v>4794</v>
      </c>
      <c r="I796" s="831">
        <v>1</v>
      </c>
      <c r="J796" s="830" t="s">
        <v>4794</v>
      </c>
      <c r="K796" s="830" t="s">
        <v>4794</v>
      </c>
      <c r="L796" s="830" t="s">
        <v>4794</v>
      </c>
      <c r="M796" s="830" t="s">
        <v>4794</v>
      </c>
      <c r="N796" s="830" t="s">
        <v>4794</v>
      </c>
      <c r="O796" s="830" t="s">
        <v>4794</v>
      </c>
      <c r="P796" s="830" t="s">
        <v>4794</v>
      </c>
      <c r="Q796" s="832">
        <f t="shared" si="11"/>
        <v>1</v>
      </c>
      <c r="R796" s="833" t="s">
        <v>4025</v>
      </c>
      <c r="S796" s="836"/>
      <c r="T796" s="851"/>
      <c r="U796" s="851"/>
      <c r="V796" s="851"/>
      <c r="W796" s="851"/>
      <c r="X796" s="851"/>
      <c r="Y796" s="851"/>
      <c r="Z796" s="851"/>
      <c r="AA796" s="851"/>
      <c r="AB796" s="851"/>
      <c r="AC796" s="851"/>
      <c r="AD796" s="851"/>
      <c r="AE796" s="851"/>
      <c r="AF796" s="837"/>
    </row>
    <row r="797" spans="1:32" ht="63">
      <c r="A797" s="827">
        <v>768</v>
      </c>
      <c r="B797" s="828" t="s">
        <v>274</v>
      </c>
      <c r="C797" s="828" t="s">
        <v>365</v>
      </c>
      <c r="D797" s="829" t="s">
        <v>366</v>
      </c>
      <c r="E797" s="830" t="s">
        <v>4794</v>
      </c>
      <c r="F797" s="830" t="s">
        <v>4794</v>
      </c>
      <c r="G797" s="830" t="s">
        <v>4794</v>
      </c>
      <c r="H797" s="830" t="s">
        <v>4794</v>
      </c>
      <c r="I797" s="831">
        <v>1</v>
      </c>
      <c r="J797" s="830" t="s">
        <v>4794</v>
      </c>
      <c r="K797" s="830" t="s">
        <v>4794</v>
      </c>
      <c r="L797" s="830" t="s">
        <v>4794</v>
      </c>
      <c r="M797" s="830" t="s">
        <v>4794</v>
      </c>
      <c r="N797" s="830" t="s">
        <v>4794</v>
      </c>
      <c r="O797" s="830" t="s">
        <v>4794</v>
      </c>
      <c r="P797" s="830" t="s">
        <v>4794</v>
      </c>
      <c r="Q797" s="832">
        <f t="shared" si="11"/>
        <v>1</v>
      </c>
      <c r="R797" s="833" t="s">
        <v>4025</v>
      </c>
      <c r="S797" s="836"/>
      <c r="T797" s="852"/>
      <c r="U797" s="852"/>
      <c r="V797" s="852"/>
      <c r="W797" s="852"/>
      <c r="X797" s="852"/>
      <c r="Y797" s="852"/>
      <c r="Z797" s="852"/>
      <c r="AA797" s="852"/>
      <c r="AB797" s="852"/>
      <c r="AC797" s="852"/>
      <c r="AD797" s="852"/>
      <c r="AE797" s="852"/>
      <c r="AF797" s="837"/>
    </row>
    <row r="798" spans="1:32" ht="73.5">
      <c r="A798" s="827">
        <v>769</v>
      </c>
      <c r="B798" s="828" t="s">
        <v>274</v>
      </c>
      <c r="C798" s="828" t="s">
        <v>367</v>
      </c>
      <c r="D798" s="829" t="s">
        <v>368</v>
      </c>
      <c r="E798" s="830" t="s">
        <v>4794</v>
      </c>
      <c r="F798" s="830" t="s">
        <v>4794</v>
      </c>
      <c r="G798" s="830" t="s">
        <v>4794</v>
      </c>
      <c r="H798" s="830" t="s">
        <v>4794</v>
      </c>
      <c r="I798" s="831">
        <v>1</v>
      </c>
      <c r="J798" s="830" t="s">
        <v>4794</v>
      </c>
      <c r="K798" s="830" t="s">
        <v>4794</v>
      </c>
      <c r="L798" s="830" t="s">
        <v>4794</v>
      </c>
      <c r="M798" s="830" t="s">
        <v>4794</v>
      </c>
      <c r="N798" s="830" t="s">
        <v>4794</v>
      </c>
      <c r="O798" s="830" t="s">
        <v>4794</v>
      </c>
      <c r="P798" s="830" t="s">
        <v>4794</v>
      </c>
      <c r="Q798" s="832">
        <f t="shared" si="11"/>
        <v>1</v>
      </c>
      <c r="R798" s="833" t="s">
        <v>4025</v>
      </c>
      <c r="S798" s="836"/>
      <c r="T798" s="851"/>
      <c r="U798" s="851"/>
      <c r="V798" s="851"/>
      <c r="W798" s="851"/>
      <c r="X798" s="851"/>
      <c r="Y798" s="851"/>
      <c r="Z798" s="851"/>
      <c r="AA798" s="851"/>
      <c r="AB798" s="851"/>
      <c r="AC798" s="851"/>
      <c r="AD798" s="851"/>
      <c r="AE798" s="851"/>
      <c r="AF798" s="837"/>
    </row>
    <row r="799" spans="1:32" ht="21">
      <c r="A799" s="827">
        <v>770</v>
      </c>
      <c r="B799" s="828" t="s">
        <v>274</v>
      </c>
      <c r="C799" s="828" t="s">
        <v>369</v>
      </c>
      <c r="D799" s="829" t="s">
        <v>370</v>
      </c>
      <c r="E799" s="830" t="s">
        <v>4794</v>
      </c>
      <c r="F799" s="830" t="s">
        <v>4794</v>
      </c>
      <c r="G799" s="831">
        <v>3</v>
      </c>
      <c r="H799" s="830" t="s">
        <v>4794</v>
      </c>
      <c r="I799" s="830" t="s">
        <v>4794</v>
      </c>
      <c r="J799" s="830" t="s">
        <v>4794</v>
      </c>
      <c r="K799" s="830" t="s">
        <v>4794</v>
      </c>
      <c r="L799" s="830" t="s">
        <v>4794</v>
      </c>
      <c r="M799" s="830" t="s">
        <v>4794</v>
      </c>
      <c r="N799" s="830" t="s">
        <v>4794</v>
      </c>
      <c r="O799" s="830" t="s">
        <v>4794</v>
      </c>
      <c r="P799" s="830" t="s">
        <v>4794</v>
      </c>
      <c r="Q799" s="832">
        <f t="shared" si="11"/>
        <v>3</v>
      </c>
      <c r="R799" s="833" t="s">
        <v>4025</v>
      </c>
      <c r="S799" s="836"/>
      <c r="T799" s="851"/>
      <c r="U799" s="851"/>
      <c r="V799" s="851"/>
      <c r="W799" s="851"/>
      <c r="X799" s="851"/>
      <c r="Y799" s="851"/>
      <c r="Z799" s="851"/>
      <c r="AA799" s="851"/>
      <c r="AB799" s="851"/>
      <c r="AC799" s="851"/>
      <c r="AD799" s="851"/>
      <c r="AE799" s="851"/>
      <c r="AF799" s="837"/>
    </row>
    <row r="800" spans="1:32">
      <c r="A800" s="827">
        <v>771</v>
      </c>
      <c r="B800" s="828" t="s">
        <v>274</v>
      </c>
      <c r="C800" s="828" t="s">
        <v>371</v>
      </c>
      <c r="D800" s="829" t="s">
        <v>372</v>
      </c>
      <c r="E800" s="830" t="s">
        <v>4794</v>
      </c>
      <c r="F800" s="830" t="s">
        <v>4794</v>
      </c>
      <c r="G800" s="830" t="s">
        <v>4794</v>
      </c>
      <c r="H800" s="830" t="s">
        <v>4794</v>
      </c>
      <c r="I800" s="831">
        <v>5</v>
      </c>
      <c r="J800" s="830" t="s">
        <v>4794</v>
      </c>
      <c r="K800" s="830" t="s">
        <v>4794</v>
      </c>
      <c r="L800" s="830" t="s">
        <v>4794</v>
      </c>
      <c r="M800" s="830" t="s">
        <v>4794</v>
      </c>
      <c r="N800" s="830" t="s">
        <v>4794</v>
      </c>
      <c r="O800" s="830" t="s">
        <v>4794</v>
      </c>
      <c r="P800" s="830" t="s">
        <v>4794</v>
      </c>
      <c r="Q800" s="832">
        <f t="shared" si="11"/>
        <v>5</v>
      </c>
      <c r="R800" s="833" t="s">
        <v>4025</v>
      </c>
      <c r="S800" s="836"/>
      <c r="T800" s="851"/>
      <c r="U800" s="851"/>
      <c r="V800" s="851"/>
      <c r="W800" s="851"/>
      <c r="X800" s="851"/>
      <c r="Y800" s="851"/>
      <c r="Z800" s="851"/>
      <c r="AA800" s="851"/>
      <c r="AB800" s="851"/>
      <c r="AC800" s="851"/>
      <c r="AD800" s="851"/>
      <c r="AE800" s="851"/>
      <c r="AF800" s="837"/>
    </row>
    <row r="801" spans="1:32" ht="42">
      <c r="A801" s="827">
        <v>772</v>
      </c>
      <c r="B801" s="828" t="s">
        <v>274</v>
      </c>
      <c r="C801" s="828" t="s">
        <v>373</v>
      </c>
      <c r="D801" s="829" t="s">
        <v>374</v>
      </c>
      <c r="E801" s="830" t="s">
        <v>4794</v>
      </c>
      <c r="F801" s="830" t="s">
        <v>4794</v>
      </c>
      <c r="G801" s="831">
        <v>3</v>
      </c>
      <c r="H801" s="830" t="s">
        <v>4794</v>
      </c>
      <c r="I801" s="831">
        <v>10</v>
      </c>
      <c r="J801" s="830" t="s">
        <v>4794</v>
      </c>
      <c r="K801" s="831">
        <v>10</v>
      </c>
      <c r="L801" s="830" t="s">
        <v>4794</v>
      </c>
      <c r="M801" s="830" t="s">
        <v>4794</v>
      </c>
      <c r="N801" s="831">
        <v>10</v>
      </c>
      <c r="O801" s="830" t="s">
        <v>4794</v>
      </c>
      <c r="P801" s="830" t="s">
        <v>4794</v>
      </c>
      <c r="Q801" s="832">
        <f t="shared" si="11"/>
        <v>33</v>
      </c>
      <c r="R801" s="833" t="s">
        <v>4025</v>
      </c>
      <c r="S801" s="836"/>
      <c r="T801" s="851"/>
      <c r="U801" s="851"/>
      <c r="V801" s="851"/>
      <c r="W801" s="851"/>
      <c r="X801" s="851"/>
      <c r="Y801" s="851"/>
      <c r="Z801" s="851"/>
      <c r="AA801" s="851"/>
      <c r="AB801" s="851"/>
      <c r="AC801" s="851"/>
      <c r="AD801" s="851"/>
      <c r="AE801" s="851"/>
      <c r="AF801" s="837"/>
    </row>
    <row r="802" spans="1:32" ht="31.5">
      <c r="A802" s="827">
        <v>773</v>
      </c>
      <c r="B802" s="828" t="s">
        <v>274</v>
      </c>
      <c r="C802" s="828" t="s">
        <v>375</v>
      </c>
      <c r="D802" s="829" t="s">
        <v>376</v>
      </c>
      <c r="E802" s="830" t="s">
        <v>4794</v>
      </c>
      <c r="F802" s="830" t="s">
        <v>4794</v>
      </c>
      <c r="G802" s="831">
        <v>3</v>
      </c>
      <c r="H802" s="830" t="s">
        <v>4794</v>
      </c>
      <c r="I802" s="831">
        <v>10</v>
      </c>
      <c r="J802" s="830" t="s">
        <v>4794</v>
      </c>
      <c r="K802" s="831">
        <v>10</v>
      </c>
      <c r="L802" s="830" t="s">
        <v>4794</v>
      </c>
      <c r="M802" s="830" t="s">
        <v>4794</v>
      </c>
      <c r="N802" s="831">
        <v>10</v>
      </c>
      <c r="O802" s="830" t="s">
        <v>4794</v>
      </c>
      <c r="P802" s="830" t="s">
        <v>4794</v>
      </c>
      <c r="Q802" s="832">
        <f t="shared" si="11"/>
        <v>33</v>
      </c>
      <c r="R802" s="833" t="s">
        <v>4025</v>
      </c>
      <c r="S802" s="836"/>
      <c r="T802" s="851"/>
      <c r="U802" s="851"/>
      <c r="V802" s="851"/>
      <c r="W802" s="851"/>
      <c r="X802" s="851"/>
      <c r="Y802" s="851"/>
      <c r="Z802" s="851"/>
      <c r="AA802" s="851"/>
      <c r="AB802" s="851"/>
      <c r="AC802" s="851"/>
      <c r="AD802" s="851"/>
      <c r="AE802" s="851"/>
      <c r="AF802" s="837"/>
    </row>
    <row r="803" spans="1:32" ht="42">
      <c r="A803" s="827">
        <v>774</v>
      </c>
      <c r="B803" s="828" t="s">
        <v>274</v>
      </c>
      <c r="C803" s="828" t="s">
        <v>377</v>
      </c>
      <c r="D803" s="829" t="s">
        <v>378</v>
      </c>
      <c r="E803" s="830" t="s">
        <v>4794</v>
      </c>
      <c r="F803" s="830" t="s">
        <v>4794</v>
      </c>
      <c r="G803" s="831">
        <v>3</v>
      </c>
      <c r="H803" s="830" t="s">
        <v>4794</v>
      </c>
      <c r="I803" s="831">
        <v>10</v>
      </c>
      <c r="J803" s="830" t="s">
        <v>4794</v>
      </c>
      <c r="K803" s="831">
        <v>10</v>
      </c>
      <c r="L803" s="830" t="s">
        <v>4794</v>
      </c>
      <c r="M803" s="830" t="s">
        <v>4794</v>
      </c>
      <c r="N803" s="831">
        <v>10</v>
      </c>
      <c r="O803" s="830" t="s">
        <v>4794</v>
      </c>
      <c r="P803" s="830" t="s">
        <v>4794</v>
      </c>
      <c r="Q803" s="832">
        <f t="shared" si="11"/>
        <v>33</v>
      </c>
      <c r="R803" s="833" t="s">
        <v>4025</v>
      </c>
      <c r="S803" s="851"/>
      <c r="T803" s="851"/>
      <c r="U803" s="851"/>
      <c r="V803" s="851"/>
      <c r="W803" s="851"/>
      <c r="X803" s="851"/>
      <c r="Y803" s="851"/>
      <c r="Z803" s="851"/>
      <c r="AA803" s="851"/>
      <c r="AB803" s="851"/>
      <c r="AC803" s="851"/>
      <c r="AD803" s="851"/>
      <c r="AE803" s="851"/>
      <c r="AF803" s="837"/>
    </row>
    <row r="804" spans="1:32" ht="42">
      <c r="A804" s="827">
        <v>775</v>
      </c>
      <c r="B804" s="828" t="s">
        <v>274</v>
      </c>
      <c r="C804" s="828" t="s">
        <v>379</v>
      </c>
      <c r="D804" s="829" t="s">
        <v>380</v>
      </c>
      <c r="E804" s="830" t="s">
        <v>4794</v>
      </c>
      <c r="F804" s="830" t="s">
        <v>4794</v>
      </c>
      <c r="G804" s="831">
        <v>3</v>
      </c>
      <c r="H804" s="830" t="s">
        <v>4794</v>
      </c>
      <c r="I804" s="831">
        <v>10</v>
      </c>
      <c r="J804" s="830" t="s">
        <v>4794</v>
      </c>
      <c r="K804" s="831">
        <v>10</v>
      </c>
      <c r="L804" s="830" t="s">
        <v>4794</v>
      </c>
      <c r="M804" s="830" t="s">
        <v>4794</v>
      </c>
      <c r="N804" s="831">
        <v>10</v>
      </c>
      <c r="O804" s="830" t="s">
        <v>4794</v>
      </c>
      <c r="P804" s="830" t="s">
        <v>4794</v>
      </c>
      <c r="Q804" s="832">
        <f t="shared" si="11"/>
        <v>33</v>
      </c>
      <c r="R804" s="833" t="s">
        <v>4025</v>
      </c>
      <c r="S804" s="836"/>
      <c r="T804" s="851"/>
      <c r="U804" s="851"/>
      <c r="V804" s="851"/>
      <c r="W804" s="851"/>
      <c r="X804" s="851"/>
      <c r="Y804" s="851"/>
      <c r="Z804" s="851"/>
      <c r="AA804" s="851"/>
      <c r="AB804" s="851"/>
      <c r="AC804" s="851"/>
      <c r="AD804" s="851"/>
      <c r="AE804" s="851"/>
      <c r="AF804" s="837"/>
    </row>
    <row r="805" spans="1:32" ht="31.5">
      <c r="A805" s="827">
        <v>776</v>
      </c>
      <c r="B805" s="828" t="s">
        <v>274</v>
      </c>
      <c r="C805" s="828" t="s">
        <v>381</v>
      </c>
      <c r="D805" s="829" t="s">
        <v>382</v>
      </c>
      <c r="E805" s="830" t="s">
        <v>4794</v>
      </c>
      <c r="F805" s="830" t="s">
        <v>4794</v>
      </c>
      <c r="G805" s="830"/>
      <c r="H805" s="830" t="s">
        <v>4794</v>
      </c>
      <c r="I805" s="831">
        <v>10</v>
      </c>
      <c r="J805" s="831">
        <v>10</v>
      </c>
      <c r="K805" s="830" t="s">
        <v>4794</v>
      </c>
      <c r="L805" s="831">
        <v>1</v>
      </c>
      <c r="M805" s="830" t="s">
        <v>4794</v>
      </c>
      <c r="N805" s="831">
        <v>10</v>
      </c>
      <c r="O805" s="830" t="s">
        <v>4794</v>
      </c>
      <c r="P805" s="830" t="s">
        <v>4794</v>
      </c>
      <c r="Q805" s="832">
        <f t="shared" si="11"/>
        <v>31</v>
      </c>
      <c r="R805" s="833" t="s">
        <v>4025</v>
      </c>
      <c r="S805" s="836"/>
      <c r="T805" s="851"/>
      <c r="U805" s="851"/>
      <c r="V805" s="851"/>
      <c r="W805" s="851"/>
      <c r="X805" s="851"/>
      <c r="Y805" s="851"/>
      <c r="Z805" s="851"/>
      <c r="AA805" s="851"/>
      <c r="AB805" s="851"/>
      <c r="AC805" s="851"/>
      <c r="AD805" s="851"/>
      <c r="AE805" s="851"/>
      <c r="AF805" s="837"/>
    </row>
    <row r="806" spans="1:32" ht="31.5">
      <c r="A806" s="827">
        <v>777</v>
      </c>
      <c r="B806" s="828" t="s">
        <v>274</v>
      </c>
      <c r="C806" s="828" t="s">
        <v>383</v>
      </c>
      <c r="D806" s="829" t="s">
        <v>384</v>
      </c>
      <c r="E806" s="830" t="s">
        <v>4794</v>
      </c>
      <c r="F806" s="830" t="s">
        <v>4794</v>
      </c>
      <c r="G806" s="830" t="s">
        <v>4794</v>
      </c>
      <c r="H806" s="830"/>
      <c r="I806" s="831">
        <v>10</v>
      </c>
      <c r="J806" s="831">
        <v>10</v>
      </c>
      <c r="K806" s="830" t="s">
        <v>4794</v>
      </c>
      <c r="L806" s="830" t="s">
        <v>4794</v>
      </c>
      <c r="M806" s="830" t="s">
        <v>4794</v>
      </c>
      <c r="N806" s="831">
        <v>10</v>
      </c>
      <c r="O806" s="830" t="s">
        <v>4794</v>
      </c>
      <c r="P806" s="830" t="s">
        <v>4794</v>
      </c>
      <c r="Q806" s="832">
        <f t="shared" si="11"/>
        <v>30</v>
      </c>
      <c r="R806" s="833" t="s">
        <v>4025</v>
      </c>
      <c r="S806" s="836"/>
      <c r="T806" s="852"/>
      <c r="U806" s="852"/>
      <c r="V806" s="852"/>
      <c r="W806" s="852"/>
      <c r="X806" s="852"/>
      <c r="Y806" s="852"/>
      <c r="Z806" s="852"/>
      <c r="AA806" s="852"/>
      <c r="AB806" s="852"/>
      <c r="AC806" s="852"/>
      <c r="AD806" s="852"/>
      <c r="AE806" s="852"/>
      <c r="AF806" s="837"/>
    </row>
    <row r="807" spans="1:32" ht="31.5">
      <c r="A807" s="827">
        <v>778</v>
      </c>
      <c r="B807" s="828" t="s">
        <v>274</v>
      </c>
      <c r="C807" s="828" t="s">
        <v>385</v>
      </c>
      <c r="D807" s="829" t="s">
        <v>386</v>
      </c>
      <c r="E807" s="830" t="s">
        <v>4794</v>
      </c>
      <c r="F807" s="830" t="s">
        <v>4794</v>
      </c>
      <c r="G807" s="830" t="s">
        <v>4794</v>
      </c>
      <c r="H807" s="830"/>
      <c r="I807" s="831">
        <v>10</v>
      </c>
      <c r="J807" s="831">
        <v>10</v>
      </c>
      <c r="K807" s="830" t="s">
        <v>4794</v>
      </c>
      <c r="L807" s="830" t="s">
        <v>4794</v>
      </c>
      <c r="M807" s="830" t="s">
        <v>4794</v>
      </c>
      <c r="N807" s="831">
        <v>10</v>
      </c>
      <c r="O807" s="830" t="s">
        <v>4794</v>
      </c>
      <c r="P807" s="830" t="s">
        <v>4794</v>
      </c>
      <c r="Q807" s="832">
        <f t="shared" si="11"/>
        <v>30</v>
      </c>
      <c r="R807" s="833" t="s">
        <v>4025</v>
      </c>
      <c r="S807" s="836"/>
      <c r="T807" s="837"/>
      <c r="U807" s="837"/>
      <c r="V807" s="837"/>
      <c r="W807" s="837"/>
      <c r="X807" s="837"/>
      <c r="Y807" s="837"/>
      <c r="Z807" s="837"/>
      <c r="AA807" s="837"/>
      <c r="AB807" s="837"/>
      <c r="AC807" s="837"/>
      <c r="AD807" s="837"/>
      <c r="AE807" s="837"/>
      <c r="AF807" s="837"/>
    </row>
    <row r="808" spans="1:32" ht="31.5">
      <c r="A808" s="827">
        <v>779</v>
      </c>
      <c r="B808" s="828" t="s">
        <v>274</v>
      </c>
      <c r="C808" s="828" t="s">
        <v>387</v>
      </c>
      <c r="D808" s="829" t="s">
        <v>388</v>
      </c>
      <c r="E808" s="830" t="s">
        <v>4794</v>
      </c>
      <c r="F808" s="830" t="s">
        <v>4794</v>
      </c>
      <c r="G808" s="830" t="s">
        <v>4794</v>
      </c>
      <c r="H808" s="830"/>
      <c r="I808" s="831">
        <v>10</v>
      </c>
      <c r="J808" s="831">
        <v>10</v>
      </c>
      <c r="K808" s="830" t="s">
        <v>4794</v>
      </c>
      <c r="L808" s="830" t="s">
        <v>4794</v>
      </c>
      <c r="M808" s="830" t="s">
        <v>4794</v>
      </c>
      <c r="N808" s="831">
        <v>10</v>
      </c>
      <c r="O808" s="830" t="s">
        <v>4794</v>
      </c>
      <c r="P808" s="830" t="s">
        <v>4794</v>
      </c>
      <c r="Q808" s="832">
        <f t="shared" si="11"/>
        <v>30</v>
      </c>
      <c r="R808" s="833" t="s">
        <v>4025</v>
      </c>
      <c r="S808" s="836"/>
      <c r="T808" s="837"/>
      <c r="U808" s="837"/>
      <c r="V808" s="837"/>
      <c r="W808" s="837"/>
      <c r="X808" s="837"/>
      <c r="Y808" s="837"/>
      <c r="Z808" s="837"/>
      <c r="AA808" s="837"/>
      <c r="AB808" s="837"/>
      <c r="AC808" s="837"/>
      <c r="AD808" s="837"/>
      <c r="AE808" s="837"/>
      <c r="AF808" s="837"/>
    </row>
    <row r="809" spans="1:32" ht="31.5">
      <c r="A809" s="827">
        <v>780</v>
      </c>
      <c r="B809" s="828" t="s">
        <v>274</v>
      </c>
      <c r="C809" s="828" t="s">
        <v>389</v>
      </c>
      <c r="D809" s="829" t="s">
        <v>390</v>
      </c>
      <c r="E809" s="830" t="s">
        <v>4794</v>
      </c>
      <c r="F809" s="830" t="s">
        <v>4794</v>
      </c>
      <c r="G809" s="830" t="s">
        <v>4794</v>
      </c>
      <c r="H809" s="830"/>
      <c r="I809" s="831">
        <v>10</v>
      </c>
      <c r="J809" s="831">
        <v>10</v>
      </c>
      <c r="K809" s="830" t="s">
        <v>4794</v>
      </c>
      <c r="L809" s="830" t="s">
        <v>4794</v>
      </c>
      <c r="M809" s="830" t="s">
        <v>4794</v>
      </c>
      <c r="N809" s="831">
        <v>10</v>
      </c>
      <c r="O809" s="830" t="s">
        <v>4794</v>
      </c>
      <c r="P809" s="830" t="s">
        <v>4794</v>
      </c>
      <c r="Q809" s="832">
        <f t="shared" si="11"/>
        <v>30</v>
      </c>
      <c r="R809" s="833" t="s">
        <v>4025</v>
      </c>
      <c r="S809" s="836"/>
      <c r="T809" s="851"/>
      <c r="U809" s="851"/>
      <c r="V809" s="851"/>
      <c r="W809" s="851"/>
      <c r="X809" s="851"/>
      <c r="Y809" s="851"/>
      <c r="Z809" s="851"/>
      <c r="AA809" s="851"/>
      <c r="AB809" s="851"/>
      <c r="AC809" s="851"/>
      <c r="AD809" s="851"/>
      <c r="AE809" s="851"/>
      <c r="AF809" s="837"/>
    </row>
    <row r="810" spans="1:32" ht="31.5">
      <c r="A810" s="827">
        <v>781</v>
      </c>
      <c r="B810" s="828" t="s">
        <v>274</v>
      </c>
      <c r="C810" s="828" t="s">
        <v>391</v>
      </c>
      <c r="D810" s="829" t="s">
        <v>392</v>
      </c>
      <c r="E810" s="830" t="s">
        <v>4794</v>
      </c>
      <c r="F810" s="830" t="s">
        <v>4794</v>
      </c>
      <c r="G810" s="830" t="s">
        <v>4794</v>
      </c>
      <c r="H810" s="830"/>
      <c r="I810" s="831">
        <v>10</v>
      </c>
      <c r="J810" s="831">
        <v>10</v>
      </c>
      <c r="K810" s="830" t="s">
        <v>4794</v>
      </c>
      <c r="L810" s="830" t="s">
        <v>4794</v>
      </c>
      <c r="M810" s="830" t="s">
        <v>4794</v>
      </c>
      <c r="N810" s="831">
        <v>10</v>
      </c>
      <c r="O810" s="830" t="s">
        <v>4794</v>
      </c>
      <c r="P810" s="830" t="s">
        <v>4794</v>
      </c>
      <c r="Q810" s="832">
        <f t="shared" si="11"/>
        <v>30</v>
      </c>
      <c r="R810" s="833" t="s">
        <v>4025</v>
      </c>
      <c r="S810" s="836"/>
      <c r="T810" s="837"/>
      <c r="U810" s="837"/>
      <c r="V810" s="837"/>
      <c r="W810" s="837"/>
      <c r="X810" s="837"/>
      <c r="Y810" s="837"/>
      <c r="Z810" s="837"/>
      <c r="AA810" s="837"/>
      <c r="AB810" s="837"/>
      <c r="AC810" s="837"/>
      <c r="AD810" s="837"/>
      <c r="AE810" s="837"/>
      <c r="AF810" s="837"/>
    </row>
    <row r="811" spans="1:32" ht="31.5">
      <c r="A811" s="827">
        <v>782</v>
      </c>
      <c r="B811" s="828" t="s">
        <v>274</v>
      </c>
      <c r="C811" s="828" t="s">
        <v>393</v>
      </c>
      <c r="D811" s="829" t="s">
        <v>394</v>
      </c>
      <c r="E811" s="830" t="s">
        <v>4794</v>
      </c>
      <c r="F811" s="830" t="s">
        <v>4794</v>
      </c>
      <c r="G811" s="830" t="s">
        <v>4794</v>
      </c>
      <c r="H811" s="830"/>
      <c r="I811" s="831">
        <v>10</v>
      </c>
      <c r="J811" s="831">
        <v>10</v>
      </c>
      <c r="K811" s="830" t="s">
        <v>4794</v>
      </c>
      <c r="L811" s="830" t="s">
        <v>4794</v>
      </c>
      <c r="M811" s="830" t="s">
        <v>4794</v>
      </c>
      <c r="N811" s="831">
        <v>10</v>
      </c>
      <c r="O811" s="830" t="s">
        <v>4794</v>
      </c>
      <c r="P811" s="830" t="s">
        <v>4794</v>
      </c>
      <c r="Q811" s="832">
        <f t="shared" si="11"/>
        <v>30</v>
      </c>
      <c r="R811" s="833" t="s">
        <v>4025</v>
      </c>
      <c r="S811" s="836"/>
      <c r="T811" s="851"/>
      <c r="U811" s="851"/>
      <c r="V811" s="851"/>
      <c r="W811" s="851"/>
      <c r="X811" s="851"/>
      <c r="Y811" s="851"/>
      <c r="Z811" s="851"/>
      <c r="AA811" s="851"/>
      <c r="AB811" s="851"/>
      <c r="AC811" s="851"/>
      <c r="AD811" s="851"/>
      <c r="AE811" s="851"/>
      <c r="AF811" s="837"/>
    </row>
    <row r="812" spans="1:32" ht="31.5">
      <c r="A812" s="827">
        <v>783</v>
      </c>
      <c r="B812" s="828" t="s">
        <v>274</v>
      </c>
      <c r="C812" s="828" t="s">
        <v>395</v>
      </c>
      <c r="D812" s="829" t="s">
        <v>396</v>
      </c>
      <c r="E812" s="830" t="s">
        <v>4794</v>
      </c>
      <c r="F812" s="830" t="s">
        <v>4794</v>
      </c>
      <c r="G812" s="830" t="s">
        <v>4794</v>
      </c>
      <c r="H812" s="830"/>
      <c r="I812" s="831">
        <v>10</v>
      </c>
      <c r="J812" s="831">
        <v>10</v>
      </c>
      <c r="K812" s="830" t="s">
        <v>4794</v>
      </c>
      <c r="L812" s="830" t="s">
        <v>4794</v>
      </c>
      <c r="M812" s="830" t="s">
        <v>4794</v>
      </c>
      <c r="N812" s="831">
        <v>10</v>
      </c>
      <c r="O812" s="830" t="s">
        <v>4794</v>
      </c>
      <c r="P812" s="830" t="s">
        <v>4794</v>
      </c>
      <c r="Q812" s="832">
        <f t="shared" si="11"/>
        <v>30</v>
      </c>
      <c r="R812" s="833" t="s">
        <v>4025</v>
      </c>
      <c r="S812" s="836"/>
      <c r="T812" s="852"/>
      <c r="U812" s="852"/>
      <c r="V812" s="852"/>
      <c r="W812" s="852"/>
      <c r="X812" s="852"/>
      <c r="Y812" s="852"/>
      <c r="Z812" s="852"/>
      <c r="AA812" s="852"/>
      <c r="AB812" s="852"/>
      <c r="AC812" s="852"/>
      <c r="AD812" s="852"/>
      <c r="AE812" s="852"/>
      <c r="AF812" s="837"/>
    </row>
    <row r="813" spans="1:32" ht="31.5">
      <c r="A813" s="827">
        <v>784</v>
      </c>
      <c r="B813" s="828" t="s">
        <v>274</v>
      </c>
      <c r="C813" s="828" t="s">
        <v>397</v>
      </c>
      <c r="D813" s="829" t="s">
        <v>398</v>
      </c>
      <c r="E813" s="830" t="s">
        <v>4794</v>
      </c>
      <c r="F813" s="830" t="s">
        <v>4794</v>
      </c>
      <c r="G813" s="830" t="s">
        <v>4794</v>
      </c>
      <c r="H813" s="830"/>
      <c r="I813" s="831">
        <v>10</v>
      </c>
      <c r="J813" s="831">
        <v>10</v>
      </c>
      <c r="K813" s="830" t="s">
        <v>4794</v>
      </c>
      <c r="L813" s="830" t="s">
        <v>4794</v>
      </c>
      <c r="M813" s="830" t="s">
        <v>4794</v>
      </c>
      <c r="N813" s="831">
        <v>10</v>
      </c>
      <c r="O813" s="830" t="s">
        <v>4794</v>
      </c>
      <c r="P813" s="830" t="s">
        <v>4794</v>
      </c>
      <c r="Q813" s="832">
        <f t="shared" si="11"/>
        <v>30</v>
      </c>
      <c r="R813" s="833" t="s">
        <v>4025</v>
      </c>
      <c r="S813" s="836"/>
      <c r="T813" s="851"/>
      <c r="U813" s="851"/>
      <c r="V813" s="851"/>
      <c r="W813" s="851"/>
      <c r="X813" s="851"/>
      <c r="Y813" s="851"/>
      <c r="Z813" s="851"/>
      <c r="AA813" s="851"/>
      <c r="AB813" s="851"/>
      <c r="AC813" s="851"/>
      <c r="AD813" s="851"/>
      <c r="AE813" s="851"/>
      <c r="AF813" s="837"/>
    </row>
    <row r="814" spans="1:32" ht="31.5">
      <c r="A814" s="827">
        <v>785</v>
      </c>
      <c r="B814" s="828" t="s">
        <v>274</v>
      </c>
      <c r="C814" s="828" t="s">
        <v>399</v>
      </c>
      <c r="D814" s="829" t="s">
        <v>400</v>
      </c>
      <c r="E814" s="830" t="s">
        <v>4794</v>
      </c>
      <c r="F814" s="830" t="s">
        <v>4794</v>
      </c>
      <c r="G814" s="830" t="s">
        <v>4794</v>
      </c>
      <c r="H814" s="830"/>
      <c r="I814" s="831">
        <v>10</v>
      </c>
      <c r="J814" s="831">
        <v>10</v>
      </c>
      <c r="K814" s="830" t="s">
        <v>4794</v>
      </c>
      <c r="L814" s="830" t="s">
        <v>4794</v>
      </c>
      <c r="M814" s="830" t="s">
        <v>4794</v>
      </c>
      <c r="N814" s="831">
        <v>10</v>
      </c>
      <c r="O814" s="830" t="s">
        <v>4794</v>
      </c>
      <c r="P814" s="830" t="s">
        <v>4794</v>
      </c>
      <c r="Q814" s="832">
        <f t="shared" si="11"/>
        <v>30</v>
      </c>
      <c r="R814" s="833" t="s">
        <v>4025</v>
      </c>
      <c r="S814" s="836"/>
      <c r="T814" s="851"/>
      <c r="U814" s="851"/>
      <c r="V814" s="851"/>
      <c r="W814" s="851"/>
      <c r="X814" s="851"/>
      <c r="Y814" s="851"/>
      <c r="Z814" s="851"/>
      <c r="AA814" s="851"/>
      <c r="AB814" s="851"/>
      <c r="AC814" s="851"/>
      <c r="AD814" s="851"/>
      <c r="AE814" s="851"/>
      <c r="AF814" s="837"/>
    </row>
    <row r="815" spans="1:32" ht="31.5">
      <c r="A815" s="827">
        <v>786</v>
      </c>
      <c r="B815" s="828" t="s">
        <v>274</v>
      </c>
      <c r="C815" s="828" t="s">
        <v>401</v>
      </c>
      <c r="D815" s="829" t="s">
        <v>402</v>
      </c>
      <c r="E815" s="830" t="s">
        <v>4794</v>
      </c>
      <c r="F815" s="830" t="s">
        <v>4794</v>
      </c>
      <c r="G815" s="830" t="s">
        <v>4794</v>
      </c>
      <c r="H815" s="830"/>
      <c r="I815" s="831">
        <v>10</v>
      </c>
      <c r="J815" s="831">
        <v>10</v>
      </c>
      <c r="K815" s="830" t="s">
        <v>4794</v>
      </c>
      <c r="L815" s="830" t="s">
        <v>4794</v>
      </c>
      <c r="M815" s="830" t="s">
        <v>4794</v>
      </c>
      <c r="N815" s="831">
        <v>10</v>
      </c>
      <c r="O815" s="830" t="s">
        <v>4794</v>
      </c>
      <c r="P815" s="830" t="s">
        <v>4794</v>
      </c>
      <c r="Q815" s="832">
        <f t="shared" si="11"/>
        <v>30</v>
      </c>
      <c r="R815" s="833" t="s">
        <v>4025</v>
      </c>
      <c r="S815" s="836"/>
      <c r="T815" s="852"/>
      <c r="U815" s="852"/>
      <c r="V815" s="852"/>
      <c r="W815" s="852"/>
      <c r="X815" s="852"/>
      <c r="Y815" s="852"/>
      <c r="Z815" s="852"/>
      <c r="AA815" s="852"/>
      <c r="AB815" s="852"/>
      <c r="AC815" s="852"/>
      <c r="AD815" s="852"/>
      <c r="AE815" s="852"/>
      <c r="AF815" s="837"/>
    </row>
    <row r="816" spans="1:32" ht="21">
      <c r="A816" s="827">
        <v>787</v>
      </c>
      <c r="B816" s="828" t="s">
        <v>274</v>
      </c>
      <c r="C816" s="828" t="s">
        <v>403</v>
      </c>
      <c r="D816" s="829" t="s">
        <v>404</v>
      </c>
      <c r="E816" s="830" t="s">
        <v>4794</v>
      </c>
      <c r="F816" s="830" t="s">
        <v>4794</v>
      </c>
      <c r="G816" s="830"/>
      <c r="H816" s="830"/>
      <c r="I816" s="831">
        <v>10</v>
      </c>
      <c r="J816" s="831">
        <v>10</v>
      </c>
      <c r="K816" s="830" t="s">
        <v>4794</v>
      </c>
      <c r="L816" s="830" t="s">
        <v>4794</v>
      </c>
      <c r="M816" s="830" t="s">
        <v>4794</v>
      </c>
      <c r="N816" s="831">
        <v>10</v>
      </c>
      <c r="O816" s="830" t="s">
        <v>4794</v>
      </c>
      <c r="P816" s="830" t="s">
        <v>4794</v>
      </c>
      <c r="Q816" s="832">
        <f t="shared" si="11"/>
        <v>30</v>
      </c>
      <c r="R816" s="833" t="s">
        <v>4025</v>
      </c>
      <c r="S816" s="836"/>
      <c r="T816" s="851"/>
      <c r="U816" s="851"/>
      <c r="V816" s="851"/>
      <c r="W816" s="851"/>
      <c r="X816" s="851"/>
      <c r="Y816" s="851"/>
      <c r="Z816" s="851"/>
      <c r="AA816" s="851"/>
      <c r="AB816" s="851"/>
      <c r="AC816" s="851"/>
      <c r="AD816" s="851"/>
      <c r="AE816" s="851"/>
      <c r="AF816" s="837"/>
    </row>
    <row r="817" spans="1:32" ht="31.5">
      <c r="A817" s="827">
        <v>788</v>
      </c>
      <c r="B817" s="828" t="s">
        <v>274</v>
      </c>
      <c r="C817" s="828" t="s">
        <v>405</v>
      </c>
      <c r="D817" s="829" t="s">
        <v>406</v>
      </c>
      <c r="E817" s="830" t="s">
        <v>4794</v>
      </c>
      <c r="F817" s="830" t="s">
        <v>4794</v>
      </c>
      <c r="G817" s="830"/>
      <c r="H817" s="830" t="s">
        <v>4794</v>
      </c>
      <c r="I817" s="831">
        <v>10</v>
      </c>
      <c r="J817" s="831">
        <v>10</v>
      </c>
      <c r="K817" s="830" t="s">
        <v>4794</v>
      </c>
      <c r="L817" s="830" t="s">
        <v>4794</v>
      </c>
      <c r="M817" s="830" t="s">
        <v>4794</v>
      </c>
      <c r="N817" s="831">
        <v>10</v>
      </c>
      <c r="O817" s="830" t="s">
        <v>4794</v>
      </c>
      <c r="P817" s="830" t="s">
        <v>4794</v>
      </c>
      <c r="Q817" s="832">
        <f t="shared" si="11"/>
        <v>30</v>
      </c>
      <c r="R817" s="833" t="s">
        <v>4025</v>
      </c>
      <c r="S817" s="836"/>
      <c r="T817" s="872"/>
      <c r="U817" s="872"/>
      <c r="V817" s="872"/>
      <c r="W817" s="872"/>
      <c r="X817" s="872"/>
      <c r="Y817" s="872"/>
      <c r="Z817" s="872"/>
      <c r="AA817" s="872"/>
      <c r="AB817" s="872"/>
      <c r="AC817" s="872"/>
      <c r="AD817" s="872"/>
      <c r="AE817" s="872"/>
      <c r="AF817" s="837"/>
    </row>
    <row r="818" spans="1:32" ht="21">
      <c r="A818" s="827">
        <v>789</v>
      </c>
      <c r="B818" s="828" t="s">
        <v>274</v>
      </c>
      <c r="C818" s="828" t="s">
        <v>407</v>
      </c>
      <c r="D818" s="829" t="s">
        <v>408</v>
      </c>
      <c r="E818" s="830" t="s">
        <v>4794</v>
      </c>
      <c r="F818" s="830" t="s">
        <v>4794</v>
      </c>
      <c r="G818" s="830" t="s">
        <v>4794</v>
      </c>
      <c r="H818" s="831">
        <v>10</v>
      </c>
      <c r="I818" s="831">
        <v>10</v>
      </c>
      <c r="J818" s="830" t="s">
        <v>4794</v>
      </c>
      <c r="K818" s="831">
        <v>10</v>
      </c>
      <c r="L818" s="830" t="s">
        <v>4794</v>
      </c>
      <c r="M818" s="830" t="s">
        <v>4794</v>
      </c>
      <c r="N818" s="830" t="s">
        <v>4794</v>
      </c>
      <c r="O818" s="830" t="s">
        <v>4794</v>
      </c>
      <c r="P818" s="830" t="s">
        <v>4794</v>
      </c>
      <c r="Q818" s="832">
        <f t="shared" si="11"/>
        <v>30</v>
      </c>
      <c r="R818" s="833" t="s">
        <v>4025</v>
      </c>
      <c r="S818" s="836"/>
      <c r="T818" s="851"/>
      <c r="U818" s="851"/>
      <c r="V818" s="851"/>
      <c r="W818" s="851"/>
      <c r="X818" s="851"/>
      <c r="Y818" s="851"/>
      <c r="Z818" s="851"/>
      <c r="AA818" s="851"/>
      <c r="AB818" s="851"/>
      <c r="AC818" s="851"/>
      <c r="AD818" s="851"/>
      <c r="AE818" s="851"/>
      <c r="AF818" s="837"/>
    </row>
    <row r="819" spans="1:32" ht="21">
      <c r="A819" s="827">
        <v>790</v>
      </c>
      <c r="B819" s="828" t="s">
        <v>274</v>
      </c>
      <c r="C819" s="828" t="s">
        <v>409</v>
      </c>
      <c r="D819" s="829" t="s">
        <v>410</v>
      </c>
      <c r="E819" s="830" t="s">
        <v>4794</v>
      </c>
      <c r="F819" s="830" t="s">
        <v>4794</v>
      </c>
      <c r="G819" s="830" t="s">
        <v>4794</v>
      </c>
      <c r="H819" s="831">
        <v>10</v>
      </c>
      <c r="I819" s="831">
        <v>10</v>
      </c>
      <c r="J819" s="830" t="s">
        <v>4794</v>
      </c>
      <c r="K819" s="831">
        <v>10</v>
      </c>
      <c r="L819" s="830" t="s">
        <v>4794</v>
      </c>
      <c r="M819" s="830" t="s">
        <v>4794</v>
      </c>
      <c r="N819" s="830" t="s">
        <v>4794</v>
      </c>
      <c r="O819" s="830" t="s">
        <v>4794</v>
      </c>
      <c r="P819" s="830" t="s">
        <v>4794</v>
      </c>
      <c r="Q819" s="832">
        <f t="shared" si="11"/>
        <v>30</v>
      </c>
      <c r="R819" s="833" t="s">
        <v>4025</v>
      </c>
      <c r="S819" s="859"/>
      <c r="T819" s="859"/>
      <c r="U819" s="859"/>
      <c r="V819" s="859"/>
      <c r="W819" s="859"/>
      <c r="X819" s="859"/>
      <c r="Y819" s="859"/>
      <c r="Z819" s="859"/>
      <c r="AA819" s="859"/>
      <c r="AB819" s="859"/>
      <c r="AC819" s="859"/>
      <c r="AD819" s="859"/>
      <c r="AE819" s="859"/>
      <c r="AF819" s="859"/>
    </row>
    <row r="820" spans="1:32" ht="21">
      <c r="A820" s="827">
        <v>791</v>
      </c>
      <c r="B820" s="828" t="s">
        <v>274</v>
      </c>
      <c r="C820" s="828" t="s">
        <v>411</v>
      </c>
      <c r="D820" s="829" t="s">
        <v>412</v>
      </c>
      <c r="E820" s="830" t="s">
        <v>4794</v>
      </c>
      <c r="F820" s="830" t="s">
        <v>4794</v>
      </c>
      <c r="G820" s="830" t="s">
        <v>4794</v>
      </c>
      <c r="H820" s="831">
        <v>10</v>
      </c>
      <c r="I820" s="831">
        <v>10</v>
      </c>
      <c r="J820" s="830" t="s">
        <v>4794</v>
      </c>
      <c r="K820" s="831">
        <v>10</v>
      </c>
      <c r="L820" s="830" t="s">
        <v>4794</v>
      </c>
      <c r="M820" s="830" t="s">
        <v>4794</v>
      </c>
      <c r="N820" s="830" t="s">
        <v>4794</v>
      </c>
      <c r="O820" s="830" t="s">
        <v>4794</v>
      </c>
      <c r="P820" s="830" t="s">
        <v>4794</v>
      </c>
      <c r="Q820" s="832">
        <f t="shared" si="11"/>
        <v>30</v>
      </c>
      <c r="R820" s="833" t="s">
        <v>4025</v>
      </c>
      <c r="S820" s="834"/>
      <c r="T820" s="911"/>
      <c r="U820" s="911"/>
      <c r="V820" s="853"/>
      <c r="W820" s="911"/>
      <c r="X820" s="911"/>
      <c r="Y820" s="911"/>
      <c r="Z820" s="911"/>
      <c r="AA820" s="911"/>
      <c r="AB820" s="911"/>
      <c r="AC820" s="911"/>
      <c r="AD820" s="911"/>
      <c r="AE820" s="911"/>
      <c r="AF820" s="835"/>
    </row>
    <row r="821" spans="1:32" ht="21">
      <c r="A821" s="827">
        <v>792</v>
      </c>
      <c r="B821" s="828" t="s">
        <v>274</v>
      </c>
      <c r="C821" s="828" t="s">
        <v>413</v>
      </c>
      <c r="D821" s="829" t="s">
        <v>414</v>
      </c>
      <c r="E821" s="830" t="s">
        <v>4794</v>
      </c>
      <c r="F821" s="830" t="s">
        <v>4794</v>
      </c>
      <c r="G821" s="830" t="s">
        <v>4794</v>
      </c>
      <c r="H821" s="831">
        <v>10</v>
      </c>
      <c r="I821" s="831">
        <v>10</v>
      </c>
      <c r="J821" s="830" t="s">
        <v>4794</v>
      </c>
      <c r="K821" s="831">
        <v>10</v>
      </c>
      <c r="L821" s="830" t="s">
        <v>4794</v>
      </c>
      <c r="M821" s="830" t="s">
        <v>4794</v>
      </c>
      <c r="N821" s="830" t="s">
        <v>4794</v>
      </c>
      <c r="O821" s="830" t="s">
        <v>4794</v>
      </c>
      <c r="P821" s="830" t="s">
        <v>4794</v>
      </c>
      <c r="Q821" s="832">
        <f t="shared" si="11"/>
        <v>30</v>
      </c>
      <c r="R821" s="833" t="s">
        <v>4025</v>
      </c>
      <c r="S821" s="834"/>
      <c r="T821" s="835"/>
      <c r="U821" s="835"/>
      <c r="V821" s="835"/>
      <c r="W821" s="835"/>
      <c r="X821" s="835"/>
      <c r="Y821" s="835"/>
      <c r="Z821" s="835"/>
      <c r="AA821" s="835"/>
      <c r="AB821" s="835"/>
      <c r="AC821" s="835"/>
      <c r="AD821" s="835"/>
      <c r="AE821" s="835"/>
      <c r="AF821" s="835"/>
    </row>
    <row r="822" spans="1:32" ht="21">
      <c r="A822" s="827">
        <v>793</v>
      </c>
      <c r="B822" s="828" t="s">
        <v>274</v>
      </c>
      <c r="C822" s="828" t="s">
        <v>415</v>
      </c>
      <c r="D822" s="829" t="s">
        <v>416</v>
      </c>
      <c r="E822" s="830" t="s">
        <v>4794</v>
      </c>
      <c r="F822" s="830" t="s">
        <v>4794</v>
      </c>
      <c r="G822" s="830" t="s">
        <v>4794</v>
      </c>
      <c r="H822" s="831">
        <v>10</v>
      </c>
      <c r="I822" s="831">
        <v>10</v>
      </c>
      <c r="J822" s="830" t="s">
        <v>4794</v>
      </c>
      <c r="K822" s="831">
        <v>10</v>
      </c>
      <c r="L822" s="830" t="s">
        <v>4794</v>
      </c>
      <c r="M822" s="830" t="s">
        <v>4794</v>
      </c>
      <c r="N822" s="830" t="s">
        <v>4794</v>
      </c>
      <c r="O822" s="830" t="s">
        <v>4794</v>
      </c>
      <c r="P822" s="830" t="s">
        <v>4794</v>
      </c>
      <c r="Q822" s="832">
        <f t="shared" si="11"/>
        <v>30</v>
      </c>
      <c r="R822" s="833" t="s">
        <v>4025</v>
      </c>
      <c r="S822" s="834"/>
      <c r="T822" s="835"/>
      <c r="U822" s="835"/>
      <c r="V822" s="835"/>
      <c r="W822" s="835"/>
      <c r="X822" s="835"/>
      <c r="Y822" s="835"/>
      <c r="Z822" s="835"/>
      <c r="AA822" s="835"/>
      <c r="AB822" s="835"/>
      <c r="AC822" s="835"/>
      <c r="AD822" s="835"/>
      <c r="AE822" s="835"/>
      <c r="AF822" s="835"/>
    </row>
    <row r="823" spans="1:32" ht="21">
      <c r="A823" s="827">
        <v>794</v>
      </c>
      <c r="B823" s="828" t="s">
        <v>274</v>
      </c>
      <c r="C823" s="828" t="s">
        <v>417</v>
      </c>
      <c r="D823" s="829" t="s">
        <v>418</v>
      </c>
      <c r="E823" s="830" t="s">
        <v>4794</v>
      </c>
      <c r="F823" s="830" t="s">
        <v>4794</v>
      </c>
      <c r="G823" s="830" t="s">
        <v>4794</v>
      </c>
      <c r="H823" s="831">
        <v>10</v>
      </c>
      <c r="I823" s="831">
        <v>10</v>
      </c>
      <c r="J823" s="830" t="s">
        <v>4794</v>
      </c>
      <c r="K823" s="831">
        <v>10</v>
      </c>
      <c r="L823" s="830" t="s">
        <v>4794</v>
      </c>
      <c r="M823" s="830" t="s">
        <v>4794</v>
      </c>
      <c r="N823" s="830" t="s">
        <v>4794</v>
      </c>
      <c r="O823" s="830" t="s">
        <v>4794</v>
      </c>
      <c r="P823" s="830" t="s">
        <v>4794</v>
      </c>
      <c r="Q823" s="832">
        <f t="shared" si="11"/>
        <v>30</v>
      </c>
      <c r="R823" s="833" t="s">
        <v>4025</v>
      </c>
      <c r="S823" s="834"/>
      <c r="T823" s="850"/>
      <c r="U823" s="850"/>
      <c r="V823" s="850"/>
      <c r="W823" s="850"/>
      <c r="X823" s="850"/>
      <c r="Y823" s="850"/>
      <c r="Z823" s="850"/>
      <c r="AA823" s="850"/>
      <c r="AB823" s="850"/>
      <c r="AC823" s="850"/>
      <c r="AD823" s="850"/>
      <c r="AE823" s="850"/>
      <c r="AF823" s="835"/>
    </row>
    <row r="824" spans="1:32" ht="21">
      <c r="A824" s="827">
        <v>795</v>
      </c>
      <c r="B824" s="828" t="s">
        <v>274</v>
      </c>
      <c r="C824" s="828" t="s">
        <v>419</v>
      </c>
      <c r="D824" s="829" t="s">
        <v>420</v>
      </c>
      <c r="E824" s="830" t="s">
        <v>4794</v>
      </c>
      <c r="F824" s="830" t="s">
        <v>4794</v>
      </c>
      <c r="G824" s="830" t="s">
        <v>4794</v>
      </c>
      <c r="H824" s="831">
        <v>10</v>
      </c>
      <c r="I824" s="831">
        <v>10</v>
      </c>
      <c r="J824" s="830" t="s">
        <v>4794</v>
      </c>
      <c r="K824" s="831">
        <v>10</v>
      </c>
      <c r="L824" s="830" t="s">
        <v>4794</v>
      </c>
      <c r="M824" s="830" t="s">
        <v>4794</v>
      </c>
      <c r="N824" s="830" t="s">
        <v>4794</v>
      </c>
      <c r="O824" s="830" t="s">
        <v>4794</v>
      </c>
      <c r="P824" s="830" t="s">
        <v>4794</v>
      </c>
      <c r="Q824" s="832">
        <f t="shared" si="11"/>
        <v>30</v>
      </c>
      <c r="R824" s="833" t="s">
        <v>4025</v>
      </c>
      <c r="S824" s="834"/>
      <c r="T824" s="835"/>
      <c r="U824" s="835"/>
      <c r="V824" s="835"/>
      <c r="W824" s="835"/>
      <c r="X824" s="835"/>
      <c r="Y824" s="835"/>
      <c r="Z824" s="835"/>
      <c r="AA824" s="835"/>
      <c r="AB824" s="835"/>
      <c r="AC824" s="835"/>
      <c r="AD824" s="835"/>
      <c r="AE824" s="835"/>
      <c r="AF824" s="835"/>
    </row>
    <row r="825" spans="1:32" ht="21">
      <c r="A825" s="827">
        <v>796</v>
      </c>
      <c r="B825" s="828" t="s">
        <v>274</v>
      </c>
      <c r="C825" s="828" t="s">
        <v>421</v>
      </c>
      <c r="D825" s="829" t="s">
        <v>422</v>
      </c>
      <c r="E825" s="830" t="s">
        <v>4794</v>
      </c>
      <c r="F825" s="830" t="s">
        <v>4794</v>
      </c>
      <c r="G825" s="830" t="s">
        <v>4794</v>
      </c>
      <c r="H825" s="831">
        <v>10</v>
      </c>
      <c r="I825" s="831">
        <v>10</v>
      </c>
      <c r="J825" s="830" t="s">
        <v>4794</v>
      </c>
      <c r="K825" s="831">
        <v>10</v>
      </c>
      <c r="L825" s="830" t="s">
        <v>4794</v>
      </c>
      <c r="M825" s="830" t="s">
        <v>4794</v>
      </c>
      <c r="N825" s="830" t="s">
        <v>4794</v>
      </c>
      <c r="O825" s="830" t="s">
        <v>4794</v>
      </c>
      <c r="P825" s="830" t="s">
        <v>4794</v>
      </c>
      <c r="Q825" s="832">
        <f t="shared" si="11"/>
        <v>30</v>
      </c>
      <c r="R825" s="833" t="s">
        <v>4025</v>
      </c>
      <c r="S825" s="834"/>
      <c r="T825" s="850"/>
      <c r="U825" s="853"/>
      <c r="V825" s="853"/>
      <c r="W825" s="853"/>
      <c r="X825" s="853"/>
      <c r="Y825" s="853"/>
      <c r="Z825" s="853"/>
      <c r="AA825" s="853"/>
      <c r="AB825" s="853"/>
      <c r="AC825" s="853"/>
      <c r="AD825" s="853"/>
      <c r="AE825" s="853"/>
      <c r="AF825" s="835"/>
    </row>
    <row r="826" spans="1:32" ht="21">
      <c r="A826" s="827">
        <v>797</v>
      </c>
      <c r="B826" s="828" t="s">
        <v>274</v>
      </c>
      <c r="C826" s="828" t="s">
        <v>423</v>
      </c>
      <c r="D826" s="829" t="s">
        <v>424</v>
      </c>
      <c r="E826" s="830" t="s">
        <v>4794</v>
      </c>
      <c r="F826" s="830" t="s">
        <v>4794</v>
      </c>
      <c r="G826" s="830" t="s">
        <v>4794</v>
      </c>
      <c r="H826" s="831">
        <v>10</v>
      </c>
      <c r="I826" s="831">
        <v>10</v>
      </c>
      <c r="J826" s="830" t="s">
        <v>4794</v>
      </c>
      <c r="K826" s="831">
        <v>10</v>
      </c>
      <c r="L826" s="830" t="s">
        <v>4794</v>
      </c>
      <c r="M826" s="830" t="s">
        <v>4794</v>
      </c>
      <c r="N826" s="830" t="s">
        <v>4794</v>
      </c>
      <c r="O826" s="830" t="s">
        <v>4794</v>
      </c>
      <c r="P826" s="830" t="s">
        <v>4794</v>
      </c>
      <c r="Q826" s="832">
        <f t="shared" si="11"/>
        <v>30</v>
      </c>
      <c r="R826" s="833" t="s">
        <v>4025</v>
      </c>
      <c r="S826" s="834"/>
      <c r="T826" s="850"/>
      <c r="U826" s="850"/>
      <c r="V826" s="850"/>
      <c r="W826" s="850"/>
      <c r="X826" s="850"/>
      <c r="Y826" s="850"/>
      <c r="Z826" s="850"/>
      <c r="AA826" s="850"/>
      <c r="AB826" s="850"/>
      <c r="AC826" s="850"/>
      <c r="AD826" s="850"/>
      <c r="AE826" s="850"/>
      <c r="AF826" s="835"/>
    </row>
    <row r="827" spans="1:32" ht="21">
      <c r="A827" s="827">
        <v>798</v>
      </c>
      <c r="B827" s="828" t="s">
        <v>274</v>
      </c>
      <c r="C827" s="828" t="s">
        <v>425</v>
      </c>
      <c r="D827" s="829" t="s">
        <v>426</v>
      </c>
      <c r="E827" s="830" t="s">
        <v>4794</v>
      </c>
      <c r="F827" s="830" t="s">
        <v>4794</v>
      </c>
      <c r="G827" s="830" t="s">
        <v>4794</v>
      </c>
      <c r="H827" s="831">
        <v>10</v>
      </c>
      <c r="I827" s="831">
        <v>10</v>
      </c>
      <c r="J827" s="830" t="s">
        <v>4794</v>
      </c>
      <c r="K827" s="831">
        <v>10</v>
      </c>
      <c r="L827" s="830" t="s">
        <v>4794</v>
      </c>
      <c r="M827" s="830" t="s">
        <v>4794</v>
      </c>
      <c r="N827" s="830" t="s">
        <v>4794</v>
      </c>
      <c r="O827" s="830" t="s">
        <v>4794</v>
      </c>
      <c r="P827" s="830" t="s">
        <v>4794</v>
      </c>
      <c r="Q827" s="832">
        <f t="shared" si="11"/>
        <v>30</v>
      </c>
      <c r="R827" s="833" t="s">
        <v>4025</v>
      </c>
      <c r="S827" s="834"/>
      <c r="T827" s="835"/>
      <c r="U827" s="835"/>
      <c r="V827" s="835"/>
      <c r="W827" s="835"/>
      <c r="X827" s="835"/>
      <c r="Y827" s="835"/>
      <c r="Z827" s="835"/>
      <c r="AA827" s="835"/>
      <c r="AB827" s="835"/>
      <c r="AC827" s="835"/>
      <c r="AD827" s="835"/>
      <c r="AE827" s="835"/>
      <c r="AF827" s="835"/>
    </row>
    <row r="828" spans="1:32" ht="21">
      <c r="A828" s="827">
        <v>799</v>
      </c>
      <c r="B828" s="828" t="s">
        <v>274</v>
      </c>
      <c r="C828" s="828" t="s">
        <v>427</v>
      </c>
      <c r="D828" s="829" t="s">
        <v>428</v>
      </c>
      <c r="E828" s="830" t="s">
        <v>4794</v>
      </c>
      <c r="F828" s="830" t="s">
        <v>4794</v>
      </c>
      <c r="G828" s="830" t="s">
        <v>4794</v>
      </c>
      <c r="H828" s="831">
        <v>10</v>
      </c>
      <c r="I828" s="831">
        <v>10</v>
      </c>
      <c r="J828" s="830" t="s">
        <v>4794</v>
      </c>
      <c r="K828" s="831">
        <v>10</v>
      </c>
      <c r="L828" s="830" t="s">
        <v>4794</v>
      </c>
      <c r="M828" s="830" t="s">
        <v>4794</v>
      </c>
      <c r="N828" s="830" t="s">
        <v>4794</v>
      </c>
      <c r="O828" s="830" t="s">
        <v>4794</v>
      </c>
      <c r="P828" s="830" t="s">
        <v>4794</v>
      </c>
      <c r="Q828" s="832">
        <f t="shared" si="11"/>
        <v>30</v>
      </c>
      <c r="R828" s="833" t="s">
        <v>4025</v>
      </c>
      <c r="S828" s="834"/>
      <c r="T828" s="850"/>
      <c r="U828" s="850"/>
      <c r="V828" s="850"/>
      <c r="W828" s="850"/>
      <c r="X828" s="850"/>
      <c r="Y828" s="850"/>
      <c r="Z828" s="850"/>
      <c r="AA828" s="850"/>
      <c r="AB828" s="850"/>
      <c r="AC828" s="850"/>
      <c r="AD828" s="850"/>
      <c r="AE828" s="850"/>
      <c r="AF828" s="835"/>
    </row>
    <row r="829" spans="1:32" ht="21">
      <c r="A829" s="827">
        <v>800</v>
      </c>
      <c r="B829" s="828" t="s">
        <v>274</v>
      </c>
      <c r="C829" s="828" t="s">
        <v>429</v>
      </c>
      <c r="D829" s="829" t="s">
        <v>430</v>
      </c>
      <c r="E829" s="830" t="s">
        <v>4794</v>
      </c>
      <c r="F829" s="830" t="s">
        <v>4794</v>
      </c>
      <c r="G829" s="830" t="s">
        <v>4794</v>
      </c>
      <c r="H829" s="831">
        <v>10</v>
      </c>
      <c r="I829" s="831">
        <v>10</v>
      </c>
      <c r="J829" s="830" t="s">
        <v>4794</v>
      </c>
      <c r="K829" s="831">
        <v>10</v>
      </c>
      <c r="L829" s="830" t="s">
        <v>4794</v>
      </c>
      <c r="M829" s="830" t="s">
        <v>4794</v>
      </c>
      <c r="N829" s="830" t="s">
        <v>4794</v>
      </c>
      <c r="O829" s="830" t="s">
        <v>4794</v>
      </c>
      <c r="P829" s="830" t="s">
        <v>4794</v>
      </c>
      <c r="Q829" s="832">
        <f t="shared" si="11"/>
        <v>30</v>
      </c>
      <c r="R829" s="833" t="s">
        <v>4025</v>
      </c>
      <c r="S829" s="834"/>
      <c r="T829" s="850"/>
      <c r="U829" s="850"/>
      <c r="V829" s="850"/>
      <c r="W829" s="850"/>
      <c r="X829" s="850"/>
      <c r="Y829" s="850"/>
      <c r="Z829" s="850"/>
      <c r="AA829" s="850"/>
      <c r="AB829" s="850"/>
      <c r="AC829" s="850"/>
      <c r="AD829" s="850"/>
      <c r="AE829" s="850"/>
      <c r="AF829" s="835"/>
    </row>
    <row r="830" spans="1:32" ht="21">
      <c r="A830" s="827">
        <v>801</v>
      </c>
      <c r="B830" s="828" t="s">
        <v>274</v>
      </c>
      <c r="C830" s="828" t="s">
        <v>431</v>
      </c>
      <c r="D830" s="829" t="s">
        <v>432</v>
      </c>
      <c r="E830" s="830" t="s">
        <v>4794</v>
      </c>
      <c r="F830" s="830" t="s">
        <v>4794</v>
      </c>
      <c r="G830" s="830" t="s">
        <v>4794</v>
      </c>
      <c r="H830" s="831">
        <v>10</v>
      </c>
      <c r="I830" s="831">
        <v>10</v>
      </c>
      <c r="J830" s="830" t="s">
        <v>4794</v>
      </c>
      <c r="K830" s="831">
        <v>10</v>
      </c>
      <c r="L830" s="830" t="s">
        <v>4794</v>
      </c>
      <c r="M830" s="830" t="s">
        <v>4794</v>
      </c>
      <c r="N830" s="830" t="s">
        <v>4794</v>
      </c>
      <c r="O830" s="830" t="s">
        <v>4794</v>
      </c>
      <c r="P830" s="830" t="s">
        <v>4794</v>
      </c>
      <c r="Q830" s="832">
        <f t="shared" si="11"/>
        <v>30</v>
      </c>
      <c r="R830" s="833" t="s">
        <v>4025</v>
      </c>
      <c r="S830" s="836"/>
      <c r="T830" s="837"/>
      <c r="U830" s="837"/>
      <c r="V830" s="837"/>
      <c r="W830" s="837"/>
      <c r="X830" s="837"/>
      <c r="Y830" s="837"/>
      <c r="Z830" s="837"/>
      <c r="AA830" s="837"/>
      <c r="AB830" s="837"/>
      <c r="AC830" s="837"/>
      <c r="AD830" s="837"/>
      <c r="AE830" s="837"/>
      <c r="AF830" s="837"/>
    </row>
    <row r="831" spans="1:32" ht="21">
      <c r="A831" s="827">
        <v>802</v>
      </c>
      <c r="B831" s="828" t="s">
        <v>274</v>
      </c>
      <c r="C831" s="828" t="s">
        <v>433</v>
      </c>
      <c r="D831" s="829" t="s">
        <v>2538</v>
      </c>
      <c r="E831" s="830" t="s">
        <v>4794</v>
      </c>
      <c r="F831" s="830" t="s">
        <v>4794</v>
      </c>
      <c r="G831" s="830" t="s">
        <v>4794</v>
      </c>
      <c r="H831" s="831">
        <v>10</v>
      </c>
      <c r="I831" s="831">
        <v>10</v>
      </c>
      <c r="J831" s="830" t="s">
        <v>4794</v>
      </c>
      <c r="K831" s="831">
        <v>10</v>
      </c>
      <c r="L831" s="830" t="s">
        <v>4794</v>
      </c>
      <c r="M831" s="830" t="s">
        <v>4794</v>
      </c>
      <c r="N831" s="830" t="s">
        <v>4794</v>
      </c>
      <c r="O831" s="830" t="s">
        <v>4794</v>
      </c>
      <c r="P831" s="830" t="s">
        <v>4794</v>
      </c>
      <c r="Q831" s="832">
        <f t="shared" si="11"/>
        <v>30</v>
      </c>
      <c r="R831" s="833" t="s">
        <v>4025</v>
      </c>
      <c r="S831" s="836"/>
      <c r="T831" s="851"/>
      <c r="U831" s="851"/>
      <c r="V831" s="851"/>
      <c r="W831" s="851"/>
      <c r="X831" s="851"/>
      <c r="Y831" s="851"/>
      <c r="Z831" s="851"/>
      <c r="AA831" s="851"/>
      <c r="AB831" s="851"/>
      <c r="AC831" s="851"/>
      <c r="AD831" s="851"/>
      <c r="AE831" s="851"/>
      <c r="AF831" s="837"/>
    </row>
    <row r="832" spans="1:32" ht="21">
      <c r="A832" s="827">
        <v>803</v>
      </c>
      <c r="B832" s="828" t="s">
        <v>274</v>
      </c>
      <c r="C832" s="828" t="s">
        <v>2539</v>
      </c>
      <c r="D832" s="829" t="s">
        <v>2540</v>
      </c>
      <c r="E832" s="830" t="s">
        <v>4794</v>
      </c>
      <c r="F832" s="830" t="s">
        <v>4794</v>
      </c>
      <c r="G832" s="830" t="s">
        <v>4794</v>
      </c>
      <c r="H832" s="831">
        <v>10</v>
      </c>
      <c r="I832" s="831">
        <v>10</v>
      </c>
      <c r="J832" s="830" t="s">
        <v>4794</v>
      </c>
      <c r="K832" s="831">
        <v>10</v>
      </c>
      <c r="L832" s="830" t="s">
        <v>4794</v>
      </c>
      <c r="M832" s="830" t="s">
        <v>4794</v>
      </c>
      <c r="N832" s="830" t="s">
        <v>4794</v>
      </c>
      <c r="O832" s="830" t="s">
        <v>4794</v>
      </c>
      <c r="P832" s="830" t="s">
        <v>4794</v>
      </c>
      <c r="Q832" s="832">
        <f t="shared" si="11"/>
        <v>30</v>
      </c>
      <c r="R832" s="833" t="s">
        <v>4025</v>
      </c>
      <c r="S832" s="836"/>
      <c r="T832" s="851"/>
      <c r="U832" s="851"/>
      <c r="V832" s="851"/>
      <c r="W832" s="851"/>
      <c r="X832" s="851"/>
      <c r="Y832" s="851"/>
      <c r="Z832" s="851"/>
      <c r="AA832" s="851"/>
      <c r="AB832" s="851"/>
      <c r="AC832" s="851"/>
      <c r="AD832" s="851"/>
      <c r="AE832" s="851"/>
      <c r="AF832" s="837"/>
    </row>
    <row r="833" spans="1:32" ht="21">
      <c r="A833" s="827">
        <v>804</v>
      </c>
      <c r="B833" s="828" t="s">
        <v>274</v>
      </c>
      <c r="C833" s="828" t="s">
        <v>2541</v>
      </c>
      <c r="D833" s="829" t="s">
        <v>2542</v>
      </c>
      <c r="E833" s="830" t="s">
        <v>4794</v>
      </c>
      <c r="F833" s="830" t="s">
        <v>4794</v>
      </c>
      <c r="G833" s="830" t="s">
        <v>4794</v>
      </c>
      <c r="H833" s="831">
        <v>10</v>
      </c>
      <c r="I833" s="831">
        <v>10</v>
      </c>
      <c r="J833" s="830" t="s">
        <v>4794</v>
      </c>
      <c r="K833" s="831">
        <v>10</v>
      </c>
      <c r="L833" s="830" t="s">
        <v>4794</v>
      </c>
      <c r="M833" s="830" t="s">
        <v>4794</v>
      </c>
      <c r="N833" s="830" t="s">
        <v>4794</v>
      </c>
      <c r="O833" s="830" t="s">
        <v>4794</v>
      </c>
      <c r="P833" s="830" t="s">
        <v>4794</v>
      </c>
      <c r="Q833" s="832">
        <f t="shared" si="11"/>
        <v>30</v>
      </c>
      <c r="R833" s="833" t="s">
        <v>4025</v>
      </c>
      <c r="S833" s="834"/>
      <c r="T833" s="850"/>
      <c r="U833" s="850"/>
      <c r="V833" s="850"/>
      <c r="W833" s="850"/>
      <c r="X833" s="850"/>
      <c r="Y833" s="850"/>
      <c r="Z833" s="850"/>
      <c r="AA833" s="850"/>
      <c r="AB833" s="850"/>
      <c r="AC833" s="850"/>
      <c r="AD833" s="850"/>
      <c r="AE833" s="850"/>
      <c r="AF833" s="835"/>
    </row>
    <row r="834" spans="1:32" ht="21">
      <c r="A834" s="827">
        <v>805</v>
      </c>
      <c r="B834" s="828" t="s">
        <v>274</v>
      </c>
      <c r="C834" s="828" t="s">
        <v>2543</v>
      </c>
      <c r="D834" s="829" t="s">
        <v>2544</v>
      </c>
      <c r="E834" s="830" t="s">
        <v>4794</v>
      </c>
      <c r="F834" s="830" t="s">
        <v>4794</v>
      </c>
      <c r="G834" s="830" t="s">
        <v>4794</v>
      </c>
      <c r="H834" s="831">
        <v>10</v>
      </c>
      <c r="I834" s="831">
        <v>10</v>
      </c>
      <c r="J834" s="830" t="s">
        <v>4794</v>
      </c>
      <c r="K834" s="831">
        <v>10</v>
      </c>
      <c r="L834" s="830" t="s">
        <v>4794</v>
      </c>
      <c r="M834" s="830" t="s">
        <v>4794</v>
      </c>
      <c r="N834" s="830" t="s">
        <v>4794</v>
      </c>
      <c r="O834" s="830" t="s">
        <v>4794</v>
      </c>
      <c r="P834" s="830" t="s">
        <v>4794</v>
      </c>
      <c r="Q834" s="832">
        <f t="shared" si="11"/>
        <v>30</v>
      </c>
      <c r="R834" s="833" t="s">
        <v>4025</v>
      </c>
      <c r="S834" s="852"/>
      <c r="T834" s="852"/>
      <c r="U834" s="852"/>
      <c r="V834" s="852"/>
      <c r="W834" s="852"/>
      <c r="X834" s="852"/>
      <c r="Y834" s="852"/>
      <c r="Z834" s="852"/>
      <c r="AA834" s="852"/>
      <c r="AB834" s="852"/>
      <c r="AC834" s="852"/>
      <c r="AD834" s="852"/>
      <c r="AE834" s="852"/>
      <c r="AF834" s="837"/>
    </row>
    <row r="835" spans="1:32" ht="21">
      <c r="A835" s="827">
        <v>806</v>
      </c>
      <c r="B835" s="828" t="s">
        <v>274</v>
      </c>
      <c r="C835" s="828" t="s">
        <v>2545</v>
      </c>
      <c r="D835" s="829" t="s">
        <v>2546</v>
      </c>
      <c r="E835" s="830" t="s">
        <v>4794</v>
      </c>
      <c r="F835" s="830" t="s">
        <v>4794</v>
      </c>
      <c r="G835" s="830" t="s">
        <v>4794</v>
      </c>
      <c r="H835" s="831">
        <v>10</v>
      </c>
      <c r="I835" s="831">
        <v>10</v>
      </c>
      <c r="J835" s="830" t="s">
        <v>4794</v>
      </c>
      <c r="K835" s="831">
        <v>10</v>
      </c>
      <c r="L835" s="830" t="s">
        <v>4794</v>
      </c>
      <c r="M835" s="830" t="s">
        <v>4794</v>
      </c>
      <c r="N835" s="830" t="s">
        <v>4794</v>
      </c>
      <c r="O835" s="830" t="s">
        <v>4794</v>
      </c>
      <c r="P835" s="830" t="s">
        <v>4794</v>
      </c>
      <c r="Q835" s="832">
        <f t="shared" si="11"/>
        <v>30</v>
      </c>
      <c r="R835" s="833" t="s">
        <v>4025</v>
      </c>
      <c r="S835" s="852"/>
      <c r="T835" s="852"/>
      <c r="U835" s="852"/>
      <c r="V835" s="852"/>
      <c r="W835" s="852"/>
      <c r="X835" s="852"/>
      <c r="Y835" s="852"/>
      <c r="Z835" s="852"/>
      <c r="AA835" s="852"/>
      <c r="AB835" s="852"/>
      <c r="AC835" s="852"/>
      <c r="AD835" s="852"/>
      <c r="AE835" s="852"/>
      <c r="AF835" s="837"/>
    </row>
    <row r="836" spans="1:32" ht="21">
      <c r="A836" s="827">
        <v>807</v>
      </c>
      <c r="B836" s="828" t="s">
        <v>274</v>
      </c>
      <c r="C836" s="828" t="s">
        <v>2547</v>
      </c>
      <c r="D836" s="829" t="s">
        <v>2548</v>
      </c>
      <c r="E836" s="830" t="s">
        <v>4794</v>
      </c>
      <c r="F836" s="830" t="s">
        <v>4794</v>
      </c>
      <c r="G836" s="830" t="s">
        <v>4794</v>
      </c>
      <c r="H836" s="831">
        <v>10</v>
      </c>
      <c r="I836" s="831">
        <v>10</v>
      </c>
      <c r="J836" s="830" t="s">
        <v>4794</v>
      </c>
      <c r="K836" s="831">
        <v>10</v>
      </c>
      <c r="L836" s="830" t="s">
        <v>4794</v>
      </c>
      <c r="M836" s="830" t="s">
        <v>4794</v>
      </c>
      <c r="N836" s="830" t="s">
        <v>4794</v>
      </c>
      <c r="O836" s="830" t="s">
        <v>4794</v>
      </c>
      <c r="P836" s="830" t="s">
        <v>4794</v>
      </c>
      <c r="Q836" s="832">
        <f t="shared" si="11"/>
        <v>30</v>
      </c>
      <c r="R836" s="833" t="s">
        <v>4025</v>
      </c>
      <c r="S836" s="859"/>
      <c r="T836" s="859"/>
      <c r="U836" s="859"/>
      <c r="V836" s="859"/>
      <c r="W836" s="859"/>
      <c r="X836" s="859"/>
      <c r="Y836" s="859"/>
      <c r="Z836" s="859"/>
      <c r="AA836" s="859"/>
      <c r="AB836" s="859"/>
      <c r="AC836" s="859"/>
      <c r="AD836" s="859"/>
      <c r="AE836" s="859"/>
      <c r="AF836" s="859"/>
    </row>
    <row r="837" spans="1:32" ht="63">
      <c r="A837" s="827">
        <v>808</v>
      </c>
      <c r="B837" s="828" t="s">
        <v>274</v>
      </c>
      <c r="C837" s="828" t="s">
        <v>2549</v>
      </c>
      <c r="D837" s="829" t="s">
        <v>2550</v>
      </c>
      <c r="E837" s="830" t="s">
        <v>4794</v>
      </c>
      <c r="F837" s="830" t="s">
        <v>4794</v>
      </c>
      <c r="G837" s="831">
        <v>5</v>
      </c>
      <c r="H837" s="831">
        <v>5</v>
      </c>
      <c r="I837" s="831">
        <v>5</v>
      </c>
      <c r="J837" s="830" t="s">
        <v>4794</v>
      </c>
      <c r="K837" s="831">
        <v>5</v>
      </c>
      <c r="L837" s="830" t="s">
        <v>4794</v>
      </c>
      <c r="M837" s="830" t="s">
        <v>4794</v>
      </c>
      <c r="N837" s="831">
        <v>5</v>
      </c>
      <c r="O837" s="831">
        <v>5</v>
      </c>
      <c r="P837" s="830" t="s">
        <v>4794</v>
      </c>
      <c r="Q837" s="832">
        <f t="shared" si="11"/>
        <v>30</v>
      </c>
      <c r="R837" s="833" t="s">
        <v>4025</v>
      </c>
      <c r="S837" s="834"/>
      <c r="T837" s="853"/>
      <c r="U837" s="853"/>
      <c r="V837" s="853"/>
      <c r="W837" s="853"/>
      <c r="X837" s="853"/>
      <c r="Y837" s="853"/>
      <c r="Z837" s="853"/>
      <c r="AA837" s="853"/>
      <c r="AB837" s="853"/>
      <c r="AC837" s="853"/>
      <c r="AD837" s="853"/>
      <c r="AE837" s="853"/>
      <c r="AF837" s="835"/>
    </row>
    <row r="838" spans="1:32" ht="63">
      <c r="A838" s="827">
        <v>809</v>
      </c>
      <c r="B838" s="828" t="s">
        <v>274</v>
      </c>
      <c r="C838" s="828" t="s">
        <v>2551</v>
      </c>
      <c r="D838" s="829" t="s">
        <v>2552</v>
      </c>
      <c r="E838" s="830" t="s">
        <v>4794</v>
      </c>
      <c r="F838" s="831">
        <v>5</v>
      </c>
      <c r="G838" s="831">
        <v>5</v>
      </c>
      <c r="H838" s="830" t="s">
        <v>4794</v>
      </c>
      <c r="I838" s="831">
        <v>5</v>
      </c>
      <c r="J838" s="830" t="s">
        <v>4794</v>
      </c>
      <c r="K838" s="830" t="s">
        <v>4794</v>
      </c>
      <c r="L838" s="831">
        <v>5</v>
      </c>
      <c r="M838" s="830" t="s">
        <v>4794</v>
      </c>
      <c r="N838" s="831">
        <v>5</v>
      </c>
      <c r="O838" s="831">
        <v>5</v>
      </c>
      <c r="P838" s="830" t="s">
        <v>4794</v>
      </c>
      <c r="Q838" s="832">
        <f t="shared" si="11"/>
        <v>30</v>
      </c>
      <c r="R838" s="833" t="s">
        <v>4025</v>
      </c>
      <c r="S838" s="859"/>
      <c r="T838" s="859"/>
      <c r="U838" s="859"/>
      <c r="V838" s="859"/>
      <c r="W838" s="859"/>
      <c r="X838" s="859"/>
      <c r="Y838" s="859"/>
      <c r="Z838" s="859"/>
      <c r="AA838" s="859"/>
      <c r="AB838" s="859"/>
      <c r="AC838" s="859"/>
      <c r="AD838" s="859"/>
      <c r="AE838" s="859"/>
      <c r="AF838" s="859"/>
    </row>
    <row r="839" spans="1:32" ht="63">
      <c r="A839" s="827">
        <v>810</v>
      </c>
      <c r="B839" s="828" t="s">
        <v>274</v>
      </c>
      <c r="C839" s="828" t="s">
        <v>2553</v>
      </c>
      <c r="D839" s="829" t="s">
        <v>2554</v>
      </c>
      <c r="E839" s="831">
        <v>5</v>
      </c>
      <c r="F839" s="830" t="s">
        <v>4794</v>
      </c>
      <c r="G839" s="831">
        <v>5</v>
      </c>
      <c r="H839" s="831">
        <v>5</v>
      </c>
      <c r="I839" s="830" t="s">
        <v>4794</v>
      </c>
      <c r="J839" s="831">
        <v>5</v>
      </c>
      <c r="K839" s="830" t="s">
        <v>4794</v>
      </c>
      <c r="L839" s="830" t="s">
        <v>4794</v>
      </c>
      <c r="M839" s="831">
        <v>5</v>
      </c>
      <c r="N839" s="831">
        <v>5</v>
      </c>
      <c r="O839" s="830" t="s">
        <v>4794</v>
      </c>
      <c r="P839" s="830" t="s">
        <v>4794</v>
      </c>
      <c r="Q839" s="832">
        <f t="shared" si="11"/>
        <v>30</v>
      </c>
      <c r="R839" s="833" t="s">
        <v>4025</v>
      </c>
      <c r="S839" s="834"/>
      <c r="T839" s="850"/>
      <c r="U839" s="850"/>
      <c r="V839" s="850"/>
      <c r="W839" s="850"/>
      <c r="X839" s="850"/>
      <c r="Y839" s="850"/>
      <c r="Z839" s="850"/>
      <c r="AA839" s="850"/>
      <c r="AB839" s="850"/>
      <c r="AC839" s="850"/>
      <c r="AD839" s="850"/>
      <c r="AE839" s="850"/>
      <c r="AF839" s="835"/>
    </row>
    <row r="840" spans="1:32" ht="52.5">
      <c r="A840" s="827">
        <v>811</v>
      </c>
      <c r="B840" s="828" t="s">
        <v>274</v>
      </c>
      <c r="C840" s="828" t="s">
        <v>2555</v>
      </c>
      <c r="D840" s="829" t="s">
        <v>2556</v>
      </c>
      <c r="E840" s="830" t="s">
        <v>4794</v>
      </c>
      <c r="F840" s="831">
        <v>5</v>
      </c>
      <c r="G840" s="831">
        <v>5</v>
      </c>
      <c r="H840" s="831">
        <v>5</v>
      </c>
      <c r="I840" s="830" t="s">
        <v>4794</v>
      </c>
      <c r="J840" s="830" t="s">
        <v>4794</v>
      </c>
      <c r="K840" s="831">
        <v>5</v>
      </c>
      <c r="L840" s="831">
        <v>5</v>
      </c>
      <c r="M840" s="830" t="s">
        <v>4794</v>
      </c>
      <c r="N840" s="831">
        <v>5</v>
      </c>
      <c r="O840" s="830" t="s">
        <v>4794</v>
      </c>
      <c r="P840" s="830"/>
      <c r="Q840" s="832">
        <f t="shared" si="11"/>
        <v>30</v>
      </c>
      <c r="R840" s="833" t="s">
        <v>4025</v>
      </c>
      <c r="S840" s="834"/>
      <c r="T840" s="850"/>
      <c r="U840" s="850"/>
      <c r="V840" s="850"/>
      <c r="W840" s="850"/>
      <c r="X840" s="850"/>
      <c r="Y840" s="850"/>
      <c r="Z840" s="850"/>
      <c r="AA840" s="850"/>
      <c r="AB840" s="850"/>
      <c r="AC840" s="850"/>
      <c r="AD840" s="850"/>
      <c r="AE840" s="850"/>
      <c r="AF840" s="835"/>
    </row>
    <row r="841" spans="1:32" ht="31.5">
      <c r="A841" s="827">
        <v>812</v>
      </c>
      <c r="B841" s="828" t="s">
        <v>3711</v>
      </c>
      <c r="C841" s="828" t="s">
        <v>2557</v>
      </c>
      <c r="D841" s="829" t="s">
        <v>2558</v>
      </c>
      <c r="E841" s="830" t="s">
        <v>4794</v>
      </c>
      <c r="F841" s="830" t="s">
        <v>4794</v>
      </c>
      <c r="G841" s="831">
        <v>5</v>
      </c>
      <c r="H841" s="831">
        <v>5</v>
      </c>
      <c r="I841" s="831">
        <v>5</v>
      </c>
      <c r="J841" s="831">
        <v>5</v>
      </c>
      <c r="K841" s="830" t="s">
        <v>4794</v>
      </c>
      <c r="L841" s="831">
        <v>5</v>
      </c>
      <c r="M841" s="830" t="s">
        <v>4794</v>
      </c>
      <c r="N841" s="831">
        <v>5</v>
      </c>
      <c r="O841" s="830" t="s">
        <v>4794</v>
      </c>
      <c r="P841" s="830" t="s">
        <v>4794</v>
      </c>
      <c r="Q841" s="832">
        <f t="shared" si="11"/>
        <v>30</v>
      </c>
      <c r="R841" s="833" t="s">
        <v>4025</v>
      </c>
      <c r="S841" s="834"/>
      <c r="T841" s="850"/>
      <c r="U841" s="850"/>
      <c r="V841" s="850"/>
      <c r="W841" s="850"/>
      <c r="X841" s="850"/>
      <c r="Y841" s="850"/>
      <c r="Z841" s="850"/>
      <c r="AA841" s="850"/>
      <c r="AB841" s="850"/>
      <c r="AC841" s="850"/>
      <c r="AD841" s="850"/>
      <c r="AE841" s="850"/>
      <c r="AF841" s="835"/>
    </row>
    <row r="842" spans="1:32" ht="31.5">
      <c r="A842" s="827">
        <v>813</v>
      </c>
      <c r="B842" s="828" t="s">
        <v>274</v>
      </c>
      <c r="C842" s="828" t="s">
        <v>2559</v>
      </c>
      <c r="D842" s="829" t="s">
        <v>2560</v>
      </c>
      <c r="E842" s="830" t="s">
        <v>4794</v>
      </c>
      <c r="F842" s="830" t="s">
        <v>4794</v>
      </c>
      <c r="G842" s="830"/>
      <c r="H842" s="830" t="s">
        <v>4794</v>
      </c>
      <c r="I842" s="830" t="s">
        <v>4794</v>
      </c>
      <c r="J842" s="830" t="s">
        <v>4794</v>
      </c>
      <c r="K842" s="831">
        <v>1</v>
      </c>
      <c r="L842" s="830" t="s">
        <v>4794</v>
      </c>
      <c r="M842" s="830" t="s">
        <v>4794</v>
      </c>
      <c r="N842" s="830" t="s">
        <v>4794</v>
      </c>
      <c r="O842" s="830" t="s">
        <v>4794</v>
      </c>
      <c r="P842" s="830"/>
      <c r="Q842" s="832">
        <f t="shared" si="11"/>
        <v>1</v>
      </c>
      <c r="R842" s="833" t="s">
        <v>4025</v>
      </c>
      <c r="S842" s="834"/>
      <c r="T842" s="850"/>
      <c r="U842" s="850"/>
      <c r="V842" s="850"/>
      <c r="W842" s="850"/>
      <c r="X842" s="850"/>
      <c r="Y842" s="850"/>
      <c r="Z842" s="850"/>
      <c r="AA842" s="850"/>
      <c r="AB842" s="850"/>
      <c r="AC842" s="850"/>
      <c r="AD842" s="850"/>
      <c r="AE842" s="850"/>
      <c r="AF842" s="835"/>
    </row>
    <row r="843" spans="1:32" ht="31.5">
      <c r="A843" s="827">
        <v>814</v>
      </c>
      <c r="B843" s="828" t="s">
        <v>274</v>
      </c>
      <c r="C843" s="828" t="s">
        <v>2561</v>
      </c>
      <c r="D843" s="829" t="s">
        <v>2562</v>
      </c>
      <c r="E843" s="830" t="s">
        <v>4794</v>
      </c>
      <c r="F843" s="830" t="s">
        <v>4794</v>
      </c>
      <c r="G843" s="830" t="s">
        <v>4794</v>
      </c>
      <c r="H843" s="830" t="s">
        <v>4794</v>
      </c>
      <c r="I843" s="830"/>
      <c r="J843" s="831">
        <v>1</v>
      </c>
      <c r="K843" s="830" t="s">
        <v>4794</v>
      </c>
      <c r="L843" s="830" t="s">
        <v>4794</v>
      </c>
      <c r="M843" s="830" t="s">
        <v>4794</v>
      </c>
      <c r="N843" s="830" t="s">
        <v>4794</v>
      </c>
      <c r="O843" s="830" t="s">
        <v>4794</v>
      </c>
      <c r="P843" s="830"/>
      <c r="Q843" s="832">
        <f t="shared" si="11"/>
        <v>1</v>
      </c>
      <c r="R843" s="833" t="s">
        <v>4025</v>
      </c>
      <c r="S843" s="834"/>
      <c r="T843" s="850"/>
      <c r="U843" s="850"/>
      <c r="V843" s="850"/>
      <c r="W843" s="850"/>
      <c r="X843" s="850"/>
      <c r="Y843" s="850"/>
      <c r="Z843" s="850"/>
      <c r="AA843" s="850"/>
      <c r="AB843" s="850"/>
      <c r="AC843" s="850"/>
      <c r="AD843" s="850"/>
      <c r="AE843" s="850"/>
      <c r="AF843" s="835"/>
    </row>
    <row r="844" spans="1:32" ht="31.5">
      <c r="A844" s="827">
        <v>815</v>
      </c>
      <c r="B844" s="828" t="s">
        <v>274</v>
      </c>
      <c r="C844" s="828" t="s">
        <v>2563</v>
      </c>
      <c r="D844" s="829" t="s">
        <v>2564</v>
      </c>
      <c r="E844" s="830" t="s">
        <v>4794</v>
      </c>
      <c r="F844" s="830" t="s">
        <v>4794</v>
      </c>
      <c r="G844" s="830" t="s">
        <v>4794</v>
      </c>
      <c r="H844" s="830" t="s">
        <v>4794</v>
      </c>
      <c r="I844" s="830"/>
      <c r="J844" s="831">
        <v>1</v>
      </c>
      <c r="K844" s="830" t="s">
        <v>4794</v>
      </c>
      <c r="L844" s="830" t="s">
        <v>4794</v>
      </c>
      <c r="M844" s="830" t="s">
        <v>4794</v>
      </c>
      <c r="N844" s="830" t="s">
        <v>4794</v>
      </c>
      <c r="O844" s="830" t="s">
        <v>4794</v>
      </c>
      <c r="P844" s="830"/>
      <c r="Q844" s="832">
        <f t="shared" si="11"/>
        <v>1</v>
      </c>
      <c r="R844" s="833" t="s">
        <v>4025</v>
      </c>
      <c r="S844" s="834"/>
      <c r="T844" s="835"/>
      <c r="U844" s="835"/>
      <c r="V844" s="835"/>
      <c r="W844" s="835"/>
      <c r="X844" s="835"/>
      <c r="Y844" s="835"/>
      <c r="Z844" s="835"/>
      <c r="AA844" s="835"/>
      <c r="AB844" s="835"/>
      <c r="AC844" s="835"/>
      <c r="AD844" s="835"/>
      <c r="AE844" s="835"/>
      <c r="AF844" s="835"/>
    </row>
    <row r="845" spans="1:32" ht="31.5">
      <c r="A845" s="827">
        <v>816</v>
      </c>
      <c r="B845" s="828" t="s">
        <v>274</v>
      </c>
      <c r="C845" s="828" t="s">
        <v>2565</v>
      </c>
      <c r="D845" s="829" t="s">
        <v>2566</v>
      </c>
      <c r="E845" s="830" t="s">
        <v>4794</v>
      </c>
      <c r="F845" s="830" t="s">
        <v>4794</v>
      </c>
      <c r="G845" s="830" t="s">
        <v>4794</v>
      </c>
      <c r="H845" s="830" t="s">
        <v>4794</v>
      </c>
      <c r="I845" s="830"/>
      <c r="J845" s="831">
        <v>1</v>
      </c>
      <c r="K845" s="830" t="s">
        <v>4794</v>
      </c>
      <c r="L845" s="830" t="s">
        <v>4794</v>
      </c>
      <c r="M845" s="830" t="s">
        <v>4794</v>
      </c>
      <c r="N845" s="830" t="s">
        <v>4794</v>
      </c>
      <c r="O845" s="830" t="s">
        <v>4794</v>
      </c>
      <c r="P845" s="830"/>
      <c r="Q845" s="832">
        <f t="shared" si="11"/>
        <v>1</v>
      </c>
      <c r="R845" s="833" t="s">
        <v>4025</v>
      </c>
      <c r="S845" s="834"/>
      <c r="T845" s="835"/>
      <c r="U845" s="835"/>
      <c r="V845" s="835"/>
      <c r="W845" s="835"/>
      <c r="X845" s="835"/>
      <c r="Y845" s="835"/>
      <c r="Z845" s="835"/>
      <c r="AA845" s="835"/>
      <c r="AB845" s="835"/>
      <c r="AC845" s="835"/>
      <c r="AD845" s="835"/>
      <c r="AE845" s="835"/>
      <c r="AF845" s="835"/>
    </row>
    <row r="846" spans="1:32" ht="21">
      <c r="A846" s="827">
        <v>817</v>
      </c>
      <c r="B846" s="828" t="s">
        <v>274</v>
      </c>
      <c r="C846" s="828" t="s">
        <v>2567</v>
      </c>
      <c r="D846" s="829" t="s">
        <v>2568</v>
      </c>
      <c r="E846" s="830" t="s">
        <v>4794</v>
      </c>
      <c r="F846" s="830" t="s">
        <v>4794</v>
      </c>
      <c r="G846" s="830" t="s">
        <v>4794</v>
      </c>
      <c r="H846" s="831">
        <v>2</v>
      </c>
      <c r="I846" s="830" t="s">
        <v>4794</v>
      </c>
      <c r="J846" s="830" t="s">
        <v>4794</v>
      </c>
      <c r="K846" s="830" t="s">
        <v>4794</v>
      </c>
      <c r="L846" s="831">
        <v>2</v>
      </c>
      <c r="M846" s="830" t="s">
        <v>4794</v>
      </c>
      <c r="N846" s="830" t="s">
        <v>4794</v>
      </c>
      <c r="O846" s="830" t="s">
        <v>4794</v>
      </c>
      <c r="P846" s="830" t="s">
        <v>4794</v>
      </c>
      <c r="Q846" s="832">
        <f t="shared" si="11"/>
        <v>4</v>
      </c>
      <c r="R846" s="833" t="s">
        <v>4025</v>
      </c>
      <c r="S846" s="834"/>
      <c r="T846" s="850"/>
      <c r="U846" s="850"/>
      <c r="V846" s="850"/>
      <c r="W846" s="850"/>
      <c r="X846" s="850"/>
      <c r="Y846" s="850"/>
      <c r="Z846" s="850"/>
      <c r="AA846" s="850"/>
      <c r="AB846" s="850"/>
      <c r="AC846" s="850"/>
      <c r="AD846" s="850"/>
      <c r="AE846" s="850"/>
      <c r="AF846" s="835"/>
    </row>
    <row r="847" spans="1:32" ht="21">
      <c r="A847" s="827">
        <v>818</v>
      </c>
      <c r="B847" s="828" t="s">
        <v>274</v>
      </c>
      <c r="C847" s="828" t="s">
        <v>2569</v>
      </c>
      <c r="D847" s="829" t="s">
        <v>2570</v>
      </c>
      <c r="E847" s="830" t="s">
        <v>4794</v>
      </c>
      <c r="F847" s="830" t="s">
        <v>4794</v>
      </c>
      <c r="G847" s="830" t="s">
        <v>4794</v>
      </c>
      <c r="H847" s="831">
        <v>2</v>
      </c>
      <c r="I847" s="830" t="s">
        <v>4794</v>
      </c>
      <c r="J847" s="830" t="s">
        <v>4794</v>
      </c>
      <c r="K847" s="830" t="s">
        <v>4794</v>
      </c>
      <c r="L847" s="831">
        <v>2</v>
      </c>
      <c r="M847" s="830" t="s">
        <v>4794</v>
      </c>
      <c r="N847" s="830" t="s">
        <v>4794</v>
      </c>
      <c r="O847" s="830" t="s">
        <v>4794</v>
      </c>
      <c r="P847" s="830" t="s">
        <v>4794</v>
      </c>
      <c r="Q847" s="832">
        <f t="shared" si="11"/>
        <v>4</v>
      </c>
      <c r="R847" s="833" t="s">
        <v>4025</v>
      </c>
      <c r="S847" s="834"/>
      <c r="T847" s="850"/>
      <c r="U847" s="850"/>
      <c r="V847" s="850"/>
      <c r="W847" s="850"/>
      <c r="X847" s="850"/>
      <c r="Y847" s="850"/>
      <c r="Z847" s="850"/>
      <c r="AA847" s="850"/>
      <c r="AB847" s="850"/>
      <c r="AC847" s="850"/>
      <c r="AD847" s="850"/>
      <c r="AE847" s="850"/>
      <c r="AF847" s="835"/>
    </row>
    <row r="848" spans="1:32" ht="52.5">
      <c r="A848" s="827">
        <v>819</v>
      </c>
      <c r="B848" s="828" t="s">
        <v>274</v>
      </c>
      <c r="C848" s="828" t="s">
        <v>2571</v>
      </c>
      <c r="D848" s="829" t="s">
        <v>2572</v>
      </c>
      <c r="E848" s="830" t="s">
        <v>4794</v>
      </c>
      <c r="F848" s="830" t="s">
        <v>4794</v>
      </c>
      <c r="G848" s="830"/>
      <c r="H848" s="830" t="s">
        <v>4794</v>
      </c>
      <c r="I848" s="830" t="s">
        <v>4794</v>
      </c>
      <c r="J848" s="830" t="s">
        <v>4794</v>
      </c>
      <c r="K848" s="830" t="s">
        <v>4794</v>
      </c>
      <c r="L848" s="831">
        <v>1</v>
      </c>
      <c r="M848" s="830" t="s">
        <v>4794</v>
      </c>
      <c r="N848" s="830" t="s">
        <v>4794</v>
      </c>
      <c r="O848" s="830" t="s">
        <v>4794</v>
      </c>
      <c r="P848" s="830" t="s">
        <v>4794</v>
      </c>
      <c r="Q848" s="832">
        <f t="shared" si="11"/>
        <v>1</v>
      </c>
      <c r="R848" s="833" t="s">
        <v>4025</v>
      </c>
      <c r="S848" s="834"/>
      <c r="T848" s="850"/>
      <c r="U848" s="850"/>
      <c r="V848" s="850"/>
      <c r="W848" s="850"/>
      <c r="X848" s="850"/>
      <c r="Y848" s="850"/>
      <c r="Z848" s="850"/>
      <c r="AA848" s="850"/>
      <c r="AB848" s="850"/>
      <c r="AC848" s="850"/>
      <c r="AD848" s="850"/>
      <c r="AE848" s="850"/>
      <c r="AF848" s="835"/>
    </row>
    <row r="849" spans="1:32" ht="52.5">
      <c r="A849" s="827">
        <v>820</v>
      </c>
      <c r="B849" s="828" t="s">
        <v>274</v>
      </c>
      <c r="C849" s="828" t="s">
        <v>2573</v>
      </c>
      <c r="D849" s="829" t="s">
        <v>2574</v>
      </c>
      <c r="E849" s="831">
        <v>5</v>
      </c>
      <c r="F849" s="831">
        <v>5</v>
      </c>
      <c r="G849" s="831">
        <v>5</v>
      </c>
      <c r="H849" s="831">
        <v>5</v>
      </c>
      <c r="I849" s="831">
        <v>5</v>
      </c>
      <c r="J849" s="831">
        <v>5</v>
      </c>
      <c r="K849" s="831">
        <v>5</v>
      </c>
      <c r="L849" s="831">
        <v>5</v>
      </c>
      <c r="M849" s="831">
        <v>5</v>
      </c>
      <c r="N849" s="831">
        <v>5</v>
      </c>
      <c r="O849" s="831">
        <v>5</v>
      </c>
      <c r="P849" s="831">
        <v>5</v>
      </c>
      <c r="Q849" s="832">
        <f t="shared" si="11"/>
        <v>60</v>
      </c>
      <c r="R849" s="833" t="s">
        <v>3900</v>
      </c>
      <c r="S849" s="834"/>
      <c r="T849" s="850"/>
      <c r="U849" s="850"/>
      <c r="V849" s="850"/>
      <c r="W849" s="850"/>
      <c r="X849" s="850"/>
      <c r="Y849" s="850"/>
      <c r="Z849" s="850"/>
      <c r="AA849" s="850"/>
      <c r="AB849" s="850"/>
      <c r="AC849" s="850"/>
      <c r="AD849" s="850"/>
      <c r="AE849" s="850"/>
      <c r="AF849" s="835"/>
    </row>
    <row r="850" spans="1:32" ht="52.5">
      <c r="A850" s="827">
        <v>821</v>
      </c>
      <c r="B850" s="828" t="s">
        <v>274</v>
      </c>
      <c r="C850" s="828" t="s">
        <v>2575</v>
      </c>
      <c r="D850" s="829" t="s">
        <v>2576</v>
      </c>
      <c r="E850" s="831">
        <v>5</v>
      </c>
      <c r="F850" s="831">
        <v>5</v>
      </c>
      <c r="G850" s="831">
        <v>5</v>
      </c>
      <c r="H850" s="831">
        <v>5</v>
      </c>
      <c r="I850" s="831">
        <v>5</v>
      </c>
      <c r="J850" s="831">
        <v>5</v>
      </c>
      <c r="K850" s="831">
        <v>5</v>
      </c>
      <c r="L850" s="831">
        <v>5</v>
      </c>
      <c r="M850" s="831">
        <v>5</v>
      </c>
      <c r="N850" s="831">
        <v>5</v>
      </c>
      <c r="O850" s="831">
        <v>5</v>
      </c>
      <c r="P850" s="831">
        <v>5</v>
      </c>
      <c r="Q850" s="832">
        <f t="shared" si="11"/>
        <v>60</v>
      </c>
      <c r="R850" s="833" t="s">
        <v>236</v>
      </c>
      <c r="S850" s="834"/>
      <c r="T850" s="850"/>
      <c r="U850" s="850"/>
      <c r="V850" s="850"/>
      <c r="W850" s="850"/>
      <c r="X850" s="850"/>
      <c r="Y850" s="850"/>
      <c r="Z850" s="850"/>
      <c r="AA850" s="850"/>
      <c r="AB850" s="850"/>
      <c r="AC850" s="850"/>
      <c r="AD850" s="850"/>
      <c r="AE850" s="850"/>
      <c r="AF850" s="835"/>
    </row>
    <row r="851" spans="1:32" ht="52.5">
      <c r="A851" s="827">
        <v>822</v>
      </c>
      <c r="B851" s="828" t="s">
        <v>274</v>
      </c>
      <c r="C851" s="828" t="s">
        <v>2577</v>
      </c>
      <c r="D851" s="829" t="s">
        <v>2578</v>
      </c>
      <c r="E851" s="831">
        <v>5</v>
      </c>
      <c r="F851" s="831">
        <v>5</v>
      </c>
      <c r="G851" s="831">
        <v>5</v>
      </c>
      <c r="H851" s="831">
        <v>5</v>
      </c>
      <c r="I851" s="831">
        <v>5</v>
      </c>
      <c r="J851" s="831">
        <v>5</v>
      </c>
      <c r="K851" s="831">
        <v>5</v>
      </c>
      <c r="L851" s="831">
        <v>5</v>
      </c>
      <c r="M851" s="831">
        <v>5</v>
      </c>
      <c r="N851" s="831">
        <v>5</v>
      </c>
      <c r="O851" s="831">
        <v>5</v>
      </c>
      <c r="P851" s="831">
        <v>5</v>
      </c>
      <c r="Q851" s="832">
        <f t="shared" si="11"/>
        <v>60</v>
      </c>
      <c r="R851" s="833" t="s">
        <v>3900</v>
      </c>
      <c r="S851" s="834"/>
      <c r="T851" s="850"/>
      <c r="U851" s="850"/>
      <c r="V851" s="850"/>
      <c r="W851" s="850"/>
      <c r="X851" s="850"/>
      <c r="Y851" s="850"/>
      <c r="Z851" s="850"/>
      <c r="AA851" s="850"/>
      <c r="AB851" s="850"/>
      <c r="AC851" s="850"/>
      <c r="AD851" s="850"/>
      <c r="AE851" s="850"/>
      <c r="AF851" s="835"/>
    </row>
    <row r="852" spans="1:32" ht="52.5">
      <c r="A852" s="827">
        <v>823</v>
      </c>
      <c r="B852" s="828" t="s">
        <v>274</v>
      </c>
      <c r="C852" s="828" t="s">
        <v>2579</v>
      </c>
      <c r="D852" s="829" t="s">
        <v>2580</v>
      </c>
      <c r="E852" s="831">
        <v>5</v>
      </c>
      <c r="F852" s="831">
        <v>5</v>
      </c>
      <c r="G852" s="831">
        <v>5</v>
      </c>
      <c r="H852" s="831">
        <v>5</v>
      </c>
      <c r="I852" s="831">
        <v>5</v>
      </c>
      <c r="J852" s="831">
        <v>5</v>
      </c>
      <c r="K852" s="831">
        <v>5</v>
      </c>
      <c r="L852" s="831">
        <v>5</v>
      </c>
      <c r="M852" s="831">
        <v>5</v>
      </c>
      <c r="N852" s="831">
        <v>5</v>
      </c>
      <c r="O852" s="831">
        <v>5</v>
      </c>
      <c r="P852" s="831">
        <v>5</v>
      </c>
      <c r="Q852" s="832">
        <f t="shared" ref="Q852:Q915" si="12">SUM(E852:P852)</f>
        <v>60</v>
      </c>
      <c r="R852" s="833" t="s">
        <v>3900</v>
      </c>
      <c r="S852" s="834"/>
      <c r="T852" s="850"/>
      <c r="U852" s="850"/>
      <c r="V852" s="850"/>
      <c r="W852" s="850"/>
      <c r="X852" s="850"/>
      <c r="Y852" s="850"/>
      <c r="Z852" s="850"/>
      <c r="AA852" s="850"/>
      <c r="AB852" s="850"/>
      <c r="AC852" s="850"/>
      <c r="AD852" s="850"/>
      <c r="AE852" s="850"/>
      <c r="AF852" s="835"/>
    </row>
    <row r="853" spans="1:32" ht="42">
      <c r="A853" s="827">
        <v>824</v>
      </c>
      <c r="B853" s="828" t="s">
        <v>274</v>
      </c>
      <c r="C853" s="828" t="s">
        <v>2581</v>
      </c>
      <c r="D853" s="829" t="s">
        <v>2582</v>
      </c>
      <c r="E853" s="831">
        <v>5</v>
      </c>
      <c r="F853" s="831">
        <v>5</v>
      </c>
      <c r="G853" s="831">
        <v>5</v>
      </c>
      <c r="H853" s="831">
        <v>5</v>
      </c>
      <c r="I853" s="831">
        <v>5</v>
      </c>
      <c r="J853" s="831">
        <v>5</v>
      </c>
      <c r="K853" s="831">
        <v>5</v>
      </c>
      <c r="L853" s="831">
        <v>5</v>
      </c>
      <c r="M853" s="831">
        <v>5</v>
      </c>
      <c r="N853" s="831">
        <v>5</v>
      </c>
      <c r="O853" s="831">
        <v>5</v>
      </c>
      <c r="P853" s="831">
        <v>5</v>
      </c>
      <c r="Q853" s="832">
        <f t="shared" si="12"/>
        <v>60</v>
      </c>
      <c r="R853" s="833" t="s">
        <v>3900</v>
      </c>
      <c r="S853" s="834"/>
      <c r="T853" s="850"/>
      <c r="U853" s="850"/>
      <c r="V853" s="850"/>
      <c r="W853" s="850"/>
      <c r="X853" s="850"/>
      <c r="Y853" s="850"/>
      <c r="Z853" s="850"/>
      <c r="AA853" s="850"/>
      <c r="AB853" s="850"/>
      <c r="AC853" s="850"/>
      <c r="AD853" s="850"/>
      <c r="AE853" s="850"/>
      <c r="AF853" s="835"/>
    </row>
    <row r="854" spans="1:32" ht="42">
      <c r="A854" s="827">
        <v>825</v>
      </c>
      <c r="B854" s="828" t="s">
        <v>274</v>
      </c>
      <c r="C854" s="828" t="s">
        <v>2583</v>
      </c>
      <c r="D854" s="829" t="s">
        <v>2584</v>
      </c>
      <c r="E854" s="831">
        <v>5</v>
      </c>
      <c r="F854" s="831">
        <v>5</v>
      </c>
      <c r="G854" s="831">
        <v>5</v>
      </c>
      <c r="H854" s="831">
        <v>5</v>
      </c>
      <c r="I854" s="831">
        <v>5</v>
      </c>
      <c r="J854" s="831">
        <v>5</v>
      </c>
      <c r="K854" s="831">
        <v>5</v>
      </c>
      <c r="L854" s="831">
        <v>5</v>
      </c>
      <c r="M854" s="831">
        <v>5</v>
      </c>
      <c r="N854" s="831">
        <v>5</v>
      </c>
      <c r="O854" s="831">
        <v>5</v>
      </c>
      <c r="P854" s="831">
        <v>5</v>
      </c>
      <c r="Q854" s="832">
        <f t="shared" si="12"/>
        <v>60</v>
      </c>
      <c r="R854" s="833" t="s">
        <v>236</v>
      </c>
      <c r="S854" s="834"/>
      <c r="T854" s="850"/>
      <c r="U854" s="850"/>
      <c r="V854" s="850"/>
      <c r="W854" s="850"/>
      <c r="X854" s="850"/>
      <c r="Y854" s="850"/>
      <c r="Z854" s="850"/>
      <c r="AA854" s="850"/>
      <c r="AB854" s="850"/>
      <c r="AC854" s="850"/>
      <c r="AD854" s="850"/>
      <c r="AE854" s="850"/>
      <c r="AF854" s="835"/>
    </row>
    <row r="855" spans="1:32" ht="52.5">
      <c r="A855" s="827">
        <v>826</v>
      </c>
      <c r="B855" s="828" t="s">
        <v>274</v>
      </c>
      <c r="C855" s="828" t="s">
        <v>2585</v>
      </c>
      <c r="D855" s="829" t="s">
        <v>2586</v>
      </c>
      <c r="E855" s="830" t="s">
        <v>4794</v>
      </c>
      <c r="F855" s="831">
        <v>1</v>
      </c>
      <c r="G855" s="830"/>
      <c r="H855" s="830" t="s">
        <v>4794</v>
      </c>
      <c r="I855" s="831">
        <v>1</v>
      </c>
      <c r="J855" s="830" t="s">
        <v>4794</v>
      </c>
      <c r="K855" s="831">
        <v>1</v>
      </c>
      <c r="L855" s="830" t="s">
        <v>4794</v>
      </c>
      <c r="M855" s="830" t="s">
        <v>4794</v>
      </c>
      <c r="N855" s="830" t="s">
        <v>4794</v>
      </c>
      <c r="O855" s="830" t="s">
        <v>4794</v>
      </c>
      <c r="P855" s="830" t="s">
        <v>4794</v>
      </c>
      <c r="Q855" s="832">
        <f t="shared" si="12"/>
        <v>3</v>
      </c>
      <c r="R855" s="833" t="s">
        <v>4025</v>
      </c>
      <c r="S855" s="834"/>
      <c r="T855" s="850"/>
      <c r="U855" s="850"/>
      <c r="V855" s="850"/>
      <c r="W855" s="850"/>
      <c r="X855" s="850"/>
      <c r="Y855" s="850"/>
      <c r="Z855" s="850"/>
      <c r="AA855" s="850"/>
      <c r="AB855" s="850"/>
      <c r="AC855" s="850"/>
      <c r="AD855" s="850"/>
      <c r="AE855" s="850"/>
      <c r="AF855" s="835"/>
    </row>
    <row r="856" spans="1:32" ht="31.5">
      <c r="A856" s="827">
        <v>827</v>
      </c>
      <c r="B856" s="828" t="s">
        <v>274</v>
      </c>
      <c r="C856" s="828" t="s">
        <v>2587</v>
      </c>
      <c r="D856" s="829" t="s">
        <v>2588</v>
      </c>
      <c r="E856" s="830" t="s">
        <v>4794</v>
      </c>
      <c r="F856" s="830" t="s">
        <v>4794</v>
      </c>
      <c r="G856" s="830" t="s">
        <v>4794</v>
      </c>
      <c r="H856" s="830"/>
      <c r="I856" s="830" t="s">
        <v>4794</v>
      </c>
      <c r="J856" s="831">
        <v>1</v>
      </c>
      <c r="K856" s="830" t="s">
        <v>4794</v>
      </c>
      <c r="L856" s="830" t="s">
        <v>4794</v>
      </c>
      <c r="M856" s="830" t="s">
        <v>4794</v>
      </c>
      <c r="N856" s="830" t="s">
        <v>4794</v>
      </c>
      <c r="O856" s="830" t="s">
        <v>4794</v>
      </c>
      <c r="P856" s="830" t="s">
        <v>4794</v>
      </c>
      <c r="Q856" s="832">
        <f t="shared" si="12"/>
        <v>1</v>
      </c>
      <c r="R856" s="833" t="s">
        <v>4025</v>
      </c>
      <c r="S856" s="834"/>
      <c r="T856" s="850"/>
      <c r="U856" s="850"/>
      <c r="V856" s="850"/>
      <c r="W856" s="850"/>
      <c r="X856" s="850"/>
      <c r="Y856" s="850"/>
      <c r="Z856" s="850"/>
      <c r="AA856" s="850"/>
      <c r="AB856" s="850"/>
      <c r="AC856" s="850"/>
      <c r="AD856" s="850"/>
      <c r="AE856" s="850"/>
      <c r="AF856" s="835"/>
    </row>
    <row r="857" spans="1:32" ht="31.5">
      <c r="A857" s="827">
        <v>828</v>
      </c>
      <c r="B857" s="828" t="s">
        <v>274</v>
      </c>
      <c r="C857" s="828" t="s">
        <v>2589</v>
      </c>
      <c r="D857" s="829" t="s">
        <v>2590</v>
      </c>
      <c r="E857" s="830" t="s">
        <v>4794</v>
      </c>
      <c r="F857" s="830" t="s">
        <v>4794</v>
      </c>
      <c r="G857" s="830" t="s">
        <v>4794</v>
      </c>
      <c r="H857" s="830"/>
      <c r="I857" s="830" t="s">
        <v>4794</v>
      </c>
      <c r="J857" s="831">
        <v>1</v>
      </c>
      <c r="K857" s="830" t="s">
        <v>4794</v>
      </c>
      <c r="L857" s="830" t="s">
        <v>4794</v>
      </c>
      <c r="M857" s="830" t="s">
        <v>4794</v>
      </c>
      <c r="N857" s="830" t="s">
        <v>4794</v>
      </c>
      <c r="O857" s="830" t="s">
        <v>4794</v>
      </c>
      <c r="P857" s="830" t="s">
        <v>4794</v>
      </c>
      <c r="Q857" s="832">
        <f t="shared" si="12"/>
        <v>1</v>
      </c>
      <c r="R857" s="833" t="s">
        <v>4025</v>
      </c>
      <c r="S857" s="834"/>
      <c r="T857" s="850"/>
      <c r="U857" s="850"/>
      <c r="V857" s="850"/>
      <c r="W857" s="850"/>
      <c r="X857" s="850"/>
      <c r="Y857" s="850"/>
      <c r="Z857" s="850"/>
      <c r="AA857" s="850"/>
      <c r="AB857" s="850"/>
      <c r="AC857" s="850"/>
      <c r="AD857" s="850"/>
      <c r="AE857" s="850"/>
      <c r="AF857" s="835"/>
    </row>
    <row r="858" spans="1:32" ht="42">
      <c r="A858" s="827">
        <v>829</v>
      </c>
      <c r="B858" s="828" t="s">
        <v>274</v>
      </c>
      <c r="C858" s="828" t="s">
        <v>2591</v>
      </c>
      <c r="D858" s="829" t="s">
        <v>2592</v>
      </c>
      <c r="E858" s="830" t="s">
        <v>4794</v>
      </c>
      <c r="F858" s="830" t="s">
        <v>4794</v>
      </c>
      <c r="G858" s="830" t="s">
        <v>4794</v>
      </c>
      <c r="H858" s="830"/>
      <c r="I858" s="831">
        <v>6</v>
      </c>
      <c r="J858" s="831">
        <v>6</v>
      </c>
      <c r="K858" s="831">
        <v>6</v>
      </c>
      <c r="L858" s="831">
        <v>6</v>
      </c>
      <c r="M858" s="831">
        <v>6</v>
      </c>
      <c r="N858" s="830" t="s">
        <v>4794</v>
      </c>
      <c r="O858" s="830" t="s">
        <v>4794</v>
      </c>
      <c r="P858" s="830" t="s">
        <v>4794</v>
      </c>
      <c r="Q858" s="832">
        <f t="shared" si="12"/>
        <v>30</v>
      </c>
      <c r="R858" s="833" t="s">
        <v>4025</v>
      </c>
      <c r="S858" s="834"/>
      <c r="T858" s="850"/>
      <c r="U858" s="850"/>
      <c r="V858" s="850"/>
      <c r="W858" s="850"/>
      <c r="X858" s="850"/>
      <c r="Y858" s="850"/>
      <c r="Z858" s="850"/>
      <c r="AA858" s="850"/>
      <c r="AB858" s="850"/>
      <c r="AC858" s="850"/>
      <c r="AD858" s="850"/>
      <c r="AE858" s="850"/>
      <c r="AF858" s="835"/>
    </row>
    <row r="859" spans="1:32" ht="42">
      <c r="A859" s="827">
        <v>830</v>
      </c>
      <c r="B859" s="828" t="s">
        <v>274</v>
      </c>
      <c r="C859" s="828" t="s">
        <v>2593</v>
      </c>
      <c r="D859" s="829" t="s">
        <v>2594</v>
      </c>
      <c r="E859" s="830" t="s">
        <v>4794</v>
      </c>
      <c r="F859" s="830" t="s">
        <v>4794</v>
      </c>
      <c r="G859" s="830" t="s">
        <v>4794</v>
      </c>
      <c r="H859" s="830"/>
      <c r="I859" s="831">
        <v>6</v>
      </c>
      <c r="J859" s="831">
        <v>6</v>
      </c>
      <c r="K859" s="831">
        <v>6</v>
      </c>
      <c r="L859" s="831">
        <v>6</v>
      </c>
      <c r="M859" s="831">
        <v>6</v>
      </c>
      <c r="N859" s="830" t="s">
        <v>4794</v>
      </c>
      <c r="O859" s="830" t="s">
        <v>4794</v>
      </c>
      <c r="P859" s="830" t="s">
        <v>4794</v>
      </c>
      <c r="Q859" s="832">
        <f t="shared" si="12"/>
        <v>30</v>
      </c>
      <c r="R859" s="833" t="s">
        <v>4025</v>
      </c>
      <c r="S859" s="834"/>
      <c r="T859" s="850"/>
      <c r="U859" s="850"/>
      <c r="V859" s="850"/>
      <c r="W859" s="850"/>
      <c r="X859" s="850"/>
      <c r="Y859" s="850"/>
      <c r="Z859" s="850"/>
      <c r="AA859" s="850"/>
      <c r="AB859" s="850"/>
      <c r="AC859" s="850"/>
      <c r="AD859" s="850"/>
      <c r="AE859" s="850"/>
      <c r="AF859" s="835"/>
    </row>
    <row r="860" spans="1:32" ht="42">
      <c r="A860" s="827">
        <v>831</v>
      </c>
      <c r="B860" s="828" t="s">
        <v>274</v>
      </c>
      <c r="C860" s="828" t="s">
        <v>2595</v>
      </c>
      <c r="D860" s="829" t="s">
        <v>2596</v>
      </c>
      <c r="E860" s="831">
        <v>4</v>
      </c>
      <c r="F860" s="831">
        <v>4</v>
      </c>
      <c r="G860" s="831">
        <v>4</v>
      </c>
      <c r="H860" s="830"/>
      <c r="I860" s="831">
        <v>4</v>
      </c>
      <c r="J860" s="831">
        <v>4</v>
      </c>
      <c r="K860" s="831">
        <v>4</v>
      </c>
      <c r="L860" s="831">
        <v>4</v>
      </c>
      <c r="M860" s="831">
        <v>4</v>
      </c>
      <c r="N860" s="831">
        <v>4</v>
      </c>
      <c r="O860" s="831">
        <v>4</v>
      </c>
      <c r="P860" s="831">
        <v>4</v>
      </c>
      <c r="Q860" s="832">
        <f t="shared" si="12"/>
        <v>44</v>
      </c>
      <c r="R860" s="833" t="s">
        <v>4025</v>
      </c>
      <c r="S860" s="834"/>
      <c r="T860" s="850"/>
      <c r="U860" s="850"/>
      <c r="V860" s="850"/>
      <c r="W860" s="850"/>
      <c r="X860" s="850"/>
      <c r="Y860" s="850"/>
      <c r="Z860" s="850"/>
      <c r="AA860" s="850"/>
      <c r="AB860" s="850"/>
      <c r="AC860" s="850"/>
      <c r="AD860" s="850"/>
      <c r="AE860" s="850"/>
      <c r="AF860" s="835"/>
    </row>
    <row r="861" spans="1:32" ht="21.75" thickBot="1">
      <c r="A861" s="838">
        <v>832</v>
      </c>
      <c r="B861" s="839" t="s">
        <v>274</v>
      </c>
      <c r="C861" s="839" t="s">
        <v>2597</v>
      </c>
      <c r="D861" s="840" t="s">
        <v>2598</v>
      </c>
      <c r="E861" s="842">
        <v>5</v>
      </c>
      <c r="F861" s="842">
        <v>5</v>
      </c>
      <c r="G861" s="842">
        <v>5</v>
      </c>
      <c r="H861" s="841"/>
      <c r="I861" s="842">
        <v>5</v>
      </c>
      <c r="J861" s="842">
        <v>5</v>
      </c>
      <c r="K861" s="842">
        <v>5</v>
      </c>
      <c r="L861" s="842">
        <v>5</v>
      </c>
      <c r="M861" s="842">
        <v>5</v>
      </c>
      <c r="N861" s="842">
        <v>5</v>
      </c>
      <c r="O861" s="842">
        <v>5</v>
      </c>
      <c r="P861" s="842">
        <v>5</v>
      </c>
      <c r="Q861" s="843">
        <f t="shared" si="12"/>
        <v>55</v>
      </c>
      <c r="R861" s="844" t="s">
        <v>4025</v>
      </c>
      <c r="S861" s="834"/>
      <c r="T861" s="835"/>
      <c r="U861" s="835"/>
      <c r="V861" s="835"/>
      <c r="W861" s="835"/>
      <c r="X861" s="835"/>
      <c r="Y861" s="835"/>
      <c r="Z861" s="835"/>
      <c r="AA861" s="835"/>
      <c r="AB861" s="835"/>
      <c r="AC861" s="835"/>
      <c r="AD861" s="835"/>
      <c r="AE861" s="835"/>
      <c r="AF861" s="835"/>
    </row>
    <row r="862" spans="1:32" ht="21.75" thickBot="1">
      <c r="A862" s="903"/>
      <c r="B862" s="901"/>
      <c r="C862" s="901"/>
      <c r="D862" s="847" t="s">
        <v>4020</v>
      </c>
      <c r="E862" s="902"/>
      <c r="F862" s="902"/>
      <c r="G862" s="902"/>
      <c r="H862" s="902"/>
      <c r="I862" s="902"/>
      <c r="J862" s="902"/>
      <c r="K862" s="902"/>
      <c r="L862" s="902"/>
      <c r="M862" s="902"/>
      <c r="N862" s="902"/>
      <c r="O862" s="902"/>
      <c r="P862" s="902"/>
      <c r="Q862" s="849">
        <f t="shared" si="12"/>
        <v>0</v>
      </c>
      <c r="R862" s="903"/>
      <c r="S862" s="834"/>
      <c r="T862" s="850"/>
      <c r="U862" s="850"/>
      <c r="V862" s="850"/>
      <c r="W862" s="850"/>
      <c r="X862" s="850"/>
      <c r="Y862" s="850"/>
      <c r="Z862" s="850"/>
      <c r="AA862" s="850"/>
      <c r="AB862" s="850"/>
      <c r="AC862" s="850"/>
      <c r="AD862" s="850"/>
      <c r="AE862" s="850"/>
      <c r="AF862" s="835"/>
    </row>
    <row r="863" spans="1:32" ht="42">
      <c r="A863" s="818">
        <v>833</v>
      </c>
      <c r="B863" s="819" t="s">
        <v>4042</v>
      </c>
      <c r="C863" s="819" t="s">
        <v>4043</v>
      </c>
      <c r="D863" s="820" t="s">
        <v>4044</v>
      </c>
      <c r="E863" s="821" t="s">
        <v>4794</v>
      </c>
      <c r="F863" s="821" t="s">
        <v>4794</v>
      </c>
      <c r="G863" s="821" t="s">
        <v>4794</v>
      </c>
      <c r="H863" s="821" t="s">
        <v>4794</v>
      </c>
      <c r="I863" s="822">
        <v>11</v>
      </c>
      <c r="J863" s="821"/>
      <c r="K863" s="821" t="s">
        <v>4794</v>
      </c>
      <c r="L863" s="821" t="s">
        <v>4794</v>
      </c>
      <c r="M863" s="821" t="s">
        <v>4794</v>
      </c>
      <c r="N863" s="821" t="s">
        <v>4794</v>
      </c>
      <c r="O863" s="821" t="s">
        <v>4794</v>
      </c>
      <c r="P863" s="821" t="s">
        <v>4794</v>
      </c>
      <c r="Q863" s="823">
        <f t="shared" si="12"/>
        <v>11</v>
      </c>
      <c r="R863" s="824" t="s">
        <v>4025</v>
      </c>
      <c r="S863" s="834"/>
      <c r="T863" s="850"/>
      <c r="U863" s="850"/>
      <c r="V863" s="850"/>
      <c r="W863" s="850"/>
      <c r="X863" s="850"/>
      <c r="Y863" s="850"/>
      <c r="Z863" s="850"/>
      <c r="AA863" s="850"/>
      <c r="AB863" s="850"/>
      <c r="AC863" s="850"/>
      <c r="AD863" s="850"/>
      <c r="AE863" s="850"/>
      <c r="AF863" s="835"/>
    </row>
    <row r="864" spans="1:32" ht="31.5">
      <c r="A864" s="885">
        <v>834</v>
      </c>
      <c r="B864" s="886" t="s">
        <v>4042</v>
      </c>
      <c r="C864" s="886" t="s">
        <v>2599</v>
      </c>
      <c r="D864" s="887" t="s">
        <v>2600</v>
      </c>
      <c r="E864" s="888" t="s">
        <v>4794</v>
      </c>
      <c r="F864" s="888" t="s">
        <v>4794</v>
      </c>
      <c r="G864" s="889">
        <v>2</v>
      </c>
      <c r="H864" s="888" t="s">
        <v>4794</v>
      </c>
      <c r="I864" s="889">
        <v>2</v>
      </c>
      <c r="J864" s="889">
        <v>2</v>
      </c>
      <c r="K864" s="889">
        <v>2</v>
      </c>
      <c r="L864" s="889">
        <v>2</v>
      </c>
      <c r="M864" s="888" t="s">
        <v>4794</v>
      </c>
      <c r="N864" s="888" t="s">
        <v>4794</v>
      </c>
      <c r="O864" s="888" t="s">
        <v>4794</v>
      </c>
      <c r="P864" s="888" t="s">
        <v>4794</v>
      </c>
      <c r="Q864" s="832">
        <f t="shared" si="12"/>
        <v>10</v>
      </c>
      <c r="R864" s="909" t="s">
        <v>4025</v>
      </c>
      <c r="S864" s="834"/>
      <c r="T864" s="835"/>
      <c r="U864" s="835"/>
      <c r="V864" s="835"/>
      <c r="W864" s="835"/>
      <c r="X864" s="835"/>
      <c r="Y864" s="835"/>
      <c r="Z864" s="835"/>
      <c r="AA864" s="835"/>
      <c r="AB864" s="835"/>
      <c r="AC864" s="835"/>
      <c r="AD864" s="835"/>
      <c r="AE864" s="835"/>
      <c r="AF864" s="835"/>
    </row>
    <row r="865" spans="1:32" ht="31.5">
      <c r="A865" s="827">
        <v>835</v>
      </c>
      <c r="B865" s="828" t="s">
        <v>4042</v>
      </c>
      <c r="C865" s="912">
        <v>9103660</v>
      </c>
      <c r="D865" s="913" t="s">
        <v>2601</v>
      </c>
      <c r="E865" s="888"/>
      <c r="F865" s="888"/>
      <c r="G865" s="888"/>
      <c r="H865" s="888"/>
      <c r="I865" s="888"/>
      <c r="J865" s="889">
        <v>1</v>
      </c>
      <c r="K865" s="888"/>
      <c r="L865" s="888"/>
      <c r="M865" s="888"/>
      <c r="N865" s="888"/>
      <c r="O865" s="888"/>
      <c r="P865" s="888"/>
      <c r="Q865" s="832">
        <f t="shared" si="12"/>
        <v>1</v>
      </c>
      <c r="R865" s="833" t="s">
        <v>4025</v>
      </c>
      <c r="S865" s="834"/>
      <c r="T865" s="850"/>
      <c r="U865" s="850"/>
      <c r="V865" s="850"/>
      <c r="W865" s="850"/>
      <c r="X865" s="850"/>
      <c r="Y865" s="850"/>
      <c r="Z865" s="850"/>
      <c r="AA865" s="850"/>
      <c r="AB865" s="850"/>
      <c r="AC865" s="850"/>
      <c r="AD865" s="850"/>
      <c r="AE865" s="850"/>
      <c r="AF865" s="835"/>
    </row>
    <row r="866" spans="1:32" ht="31.5">
      <c r="A866" s="885">
        <v>836</v>
      </c>
      <c r="B866" s="828" t="s">
        <v>4042</v>
      </c>
      <c r="C866" s="828" t="s">
        <v>2602</v>
      </c>
      <c r="D866" s="829" t="s">
        <v>2603</v>
      </c>
      <c r="E866" s="830" t="s">
        <v>4794</v>
      </c>
      <c r="F866" s="830" t="s">
        <v>4794</v>
      </c>
      <c r="G866" s="830" t="s">
        <v>4794</v>
      </c>
      <c r="H866" s="830" t="s">
        <v>4794</v>
      </c>
      <c r="I866" s="830" t="s">
        <v>4794</v>
      </c>
      <c r="J866" s="830" t="s">
        <v>4794</v>
      </c>
      <c r="K866" s="830" t="s">
        <v>4794</v>
      </c>
      <c r="L866" s="831">
        <v>1</v>
      </c>
      <c r="M866" s="830" t="s">
        <v>4794</v>
      </c>
      <c r="N866" s="830" t="s">
        <v>4794</v>
      </c>
      <c r="O866" s="830" t="s">
        <v>4794</v>
      </c>
      <c r="P866" s="830" t="s">
        <v>4794</v>
      </c>
      <c r="Q866" s="832">
        <f t="shared" si="12"/>
        <v>1</v>
      </c>
      <c r="R866" s="833" t="s">
        <v>4025</v>
      </c>
      <c r="S866" s="834"/>
      <c r="T866" s="850"/>
      <c r="U866" s="850"/>
      <c r="V866" s="850"/>
      <c r="W866" s="850"/>
      <c r="X866" s="850"/>
      <c r="Y866" s="850"/>
      <c r="Z866" s="850"/>
      <c r="AA866" s="850"/>
      <c r="AB866" s="850"/>
      <c r="AC866" s="850"/>
      <c r="AD866" s="850"/>
      <c r="AE866" s="850"/>
      <c r="AF866" s="835"/>
    </row>
    <row r="867" spans="1:32" ht="52.5">
      <c r="A867" s="827">
        <v>837</v>
      </c>
      <c r="B867" s="828" t="s">
        <v>4042</v>
      </c>
      <c r="C867" s="828" t="s">
        <v>2604</v>
      </c>
      <c r="D867" s="829" t="s">
        <v>2605</v>
      </c>
      <c r="E867" s="830" t="s">
        <v>4794</v>
      </c>
      <c r="F867" s="830" t="s">
        <v>4794</v>
      </c>
      <c r="G867" s="830" t="s">
        <v>4794</v>
      </c>
      <c r="H867" s="831">
        <v>5</v>
      </c>
      <c r="I867" s="830" t="s">
        <v>4794</v>
      </c>
      <c r="J867" s="831">
        <v>5</v>
      </c>
      <c r="K867" s="830"/>
      <c r="L867" s="830" t="s">
        <v>4794</v>
      </c>
      <c r="M867" s="830" t="s">
        <v>4794</v>
      </c>
      <c r="N867" s="830" t="s">
        <v>4794</v>
      </c>
      <c r="O867" s="830" t="s">
        <v>4794</v>
      </c>
      <c r="P867" s="830" t="s">
        <v>4794</v>
      </c>
      <c r="Q867" s="832">
        <f t="shared" si="12"/>
        <v>10</v>
      </c>
      <c r="R867" s="833" t="s">
        <v>4025</v>
      </c>
      <c r="S867" s="834"/>
      <c r="T867" s="850"/>
      <c r="U867" s="850"/>
      <c r="V867" s="850"/>
      <c r="W867" s="850"/>
      <c r="X867" s="850"/>
      <c r="Y867" s="850"/>
      <c r="Z867" s="850"/>
      <c r="AA867" s="850"/>
      <c r="AB867" s="850"/>
      <c r="AC867" s="850"/>
      <c r="AD867" s="850"/>
      <c r="AE867" s="850"/>
      <c r="AF867" s="835"/>
    </row>
    <row r="868" spans="1:32" ht="21">
      <c r="A868" s="885">
        <v>838</v>
      </c>
      <c r="B868" s="828" t="s">
        <v>4042</v>
      </c>
      <c r="C868" s="828">
        <v>9104472</v>
      </c>
      <c r="D868" s="829" t="s">
        <v>2606</v>
      </c>
      <c r="E868" s="830"/>
      <c r="F868" s="830"/>
      <c r="G868" s="830"/>
      <c r="H868" s="830"/>
      <c r="I868" s="830"/>
      <c r="J868" s="831">
        <v>1</v>
      </c>
      <c r="K868" s="830"/>
      <c r="L868" s="830"/>
      <c r="M868" s="830"/>
      <c r="N868" s="830"/>
      <c r="O868" s="830"/>
      <c r="P868" s="830"/>
      <c r="Q868" s="832">
        <f>SUM(E868:P868)</f>
        <v>1</v>
      </c>
      <c r="R868" s="833" t="s">
        <v>4025</v>
      </c>
      <c r="S868" s="834"/>
      <c r="T868" s="850"/>
      <c r="U868" s="850"/>
      <c r="V868" s="850"/>
      <c r="W868" s="850"/>
      <c r="X868" s="850"/>
      <c r="Y868" s="850"/>
      <c r="Z868" s="850"/>
      <c r="AA868" s="850"/>
      <c r="AB868" s="850"/>
      <c r="AC868" s="850"/>
      <c r="AD868" s="850"/>
      <c r="AE868" s="850"/>
      <c r="AF868" s="835"/>
    </row>
    <row r="869" spans="1:32" ht="42">
      <c r="A869" s="827">
        <v>839</v>
      </c>
      <c r="B869" s="828" t="s">
        <v>4042</v>
      </c>
      <c r="C869" s="828" t="s">
        <v>2607</v>
      </c>
      <c r="D869" s="829" t="s">
        <v>2608</v>
      </c>
      <c r="E869" s="830" t="s">
        <v>4794</v>
      </c>
      <c r="F869" s="830" t="s">
        <v>4794</v>
      </c>
      <c r="G869" s="830" t="s">
        <v>4794</v>
      </c>
      <c r="H869" s="831">
        <v>1</v>
      </c>
      <c r="I869" s="831">
        <v>1</v>
      </c>
      <c r="J869" s="830" t="s">
        <v>4794</v>
      </c>
      <c r="K869" s="831">
        <v>1</v>
      </c>
      <c r="L869" s="830" t="s">
        <v>4794</v>
      </c>
      <c r="M869" s="830" t="s">
        <v>4794</v>
      </c>
      <c r="N869" s="830" t="s">
        <v>4794</v>
      </c>
      <c r="O869" s="830" t="s">
        <v>4794</v>
      </c>
      <c r="P869" s="830" t="s">
        <v>4794</v>
      </c>
      <c r="Q869" s="832">
        <f>SUM(E869:P869)</f>
        <v>3</v>
      </c>
      <c r="R869" s="833" t="s">
        <v>4025</v>
      </c>
      <c r="S869" s="834"/>
      <c r="T869" s="850"/>
      <c r="U869" s="850"/>
      <c r="V869" s="850"/>
      <c r="W869" s="850"/>
      <c r="X869" s="850"/>
      <c r="Y869" s="850"/>
      <c r="Z869" s="850"/>
      <c r="AA869" s="850"/>
      <c r="AB869" s="850"/>
      <c r="AC869" s="850"/>
      <c r="AD869" s="850"/>
      <c r="AE869" s="850"/>
      <c r="AF869" s="835"/>
    </row>
    <row r="870" spans="1:32" ht="42">
      <c r="A870" s="885">
        <v>840</v>
      </c>
      <c r="B870" s="828" t="s">
        <v>4042</v>
      </c>
      <c r="C870" s="828" t="s">
        <v>2609</v>
      </c>
      <c r="D870" s="829" t="s">
        <v>2610</v>
      </c>
      <c r="E870" s="830" t="s">
        <v>4794</v>
      </c>
      <c r="F870" s="830" t="s">
        <v>4794</v>
      </c>
      <c r="G870" s="830" t="s">
        <v>4794</v>
      </c>
      <c r="H870" s="831">
        <v>1</v>
      </c>
      <c r="I870" s="831">
        <v>1</v>
      </c>
      <c r="J870" s="831">
        <v>1</v>
      </c>
      <c r="K870" s="831">
        <v>1</v>
      </c>
      <c r="L870" s="831">
        <v>1</v>
      </c>
      <c r="M870" s="830" t="s">
        <v>4794</v>
      </c>
      <c r="N870" s="830" t="s">
        <v>4794</v>
      </c>
      <c r="O870" s="830" t="s">
        <v>4794</v>
      </c>
      <c r="P870" s="830" t="s">
        <v>4794</v>
      </c>
      <c r="Q870" s="832">
        <f>SUM(E870:P870)</f>
        <v>5</v>
      </c>
      <c r="R870" s="833" t="s">
        <v>4025</v>
      </c>
      <c r="S870" s="834"/>
      <c r="T870" s="850"/>
      <c r="U870" s="850"/>
      <c r="V870" s="850"/>
      <c r="W870" s="850"/>
      <c r="X870" s="850"/>
      <c r="Y870" s="850"/>
      <c r="Z870" s="850"/>
      <c r="AA870" s="850"/>
      <c r="AB870" s="850"/>
      <c r="AC870" s="850"/>
      <c r="AD870" s="850"/>
      <c r="AE870" s="850"/>
      <c r="AF870" s="835"/>
    </row>
    <row r="871" spans="1:32" ht="52.5">
      <c r="A871" s="827">
        <v>841</v>
      </c>
      <c r="B871" s="828" t="s">
        <v>4042</v>
      </c>
      <c r="C871" s="828" t="s">
        <v>2611</v>
      </c>
      <c r="D871" s="829" t="s">
        <v>2612</v>
      </c>
      <c r="E871" s="830" t="s">
        <v>4794</v>
      </c>
      <c r="F871" s="830" t="s">
        <v>4794</v>
      </c>
      <c r="G871" s="830" t="s">
        <v>4794</v>
      </c>
      <c r="H871" s="830" t="s">
        <v>4794</v>
      </c>
      <c r="I871" s="831">
        <v>1</v>
      </c>
      <c r="J871" s="831">
        <v>1</v>
      </c>
      <c r="K871" s="830"/>
      <c r="L871" s="830" t="s">
        <v>4794</v>
      </c>
      <c r="M871" s="830" t="s">
        <v>4794</v>
      </c>
      <c r="N871" s="830" t="s">
        <v>4794</v>
      </c>
      <c r="O871" s="830" t="s">
        <v>4794</v>
      </c>
      <c r="P871" s="830" t="s">
        <v>4794</v>
      </c>
      <c r="Q871" s="832">
        <f t="shared" si="12"/>
        <v>2</v>
      </c>
      <c r="R871" s="833" t="s">
        <v>4025</v>
      </c>
      <c r="S871" s="834"/>
      <c r="T871" s="850"/>
      <c r="U871" s="850"/>
      <c r="V871" s="850"/>
      <c r="W871" s="850"/>
      <c r="X871" s="850"/>
      <c r="Y871" s="850"/>
      <c r="Z871" s="850"/>
      <c r="AA871" s="850"/>
      <c r="AB871" s="850"/>
      <c r="AC871" s="850"/>
      <c r="AD871" s="850"/>
      <c r="AE871" s="850"/>
      <c r="AF871" s="835"/>
    </row>
    <row r="872" spans="1:32" ht="21">
      <c r="A872" s="885">
        <v>842</v>
      </c>
      <c r="B872" s="828" t="s">
        <v>4042</v>
      </c>
      <c r="C872" s="828" t="s">
        <v>2613</v>
      </c>
      <c r="D872" s="829" t="s">
        <v>2614</v>
      </c>
      <c r="E872" s="830" t="s">
        <v>4794</v>
      </c>
      <c r="F872" s="830" t="s">
        <v>4794</v>
      </c>
      <c r="G872" s="830" t="s">
        <v>4794</v>
      </c>
      <c r="H872" s="830" t="s">
        <v>4794</v>
      </c>
      <c r="I872" s="831">
        <v>2</v>
      </c>
      <c r="J872" s="831">
        <v>1</v>
      </c>
      <c r="K872" s="830" t="s">
        <v>4794</v>
      </c>
      <c r="L872" s="830" t="s">
        <v>4794</v>
      </c>
      <c r="M872" s="830" t="s">
        <v>4794</v>
      </c>
      <c r="N872" s="830" t="s">
        <v>4794</v>
      </c>
      <c r="O872" s="830" t="s">
        <v>4794</v>
      </c>
      <c r="P872" s="830" t="s">
        <v>4794</v>
      </c>
      <c r="Q872" s="832">
        <f t="shared" si="12"/>
        <v>3</v>
      </c>
      <c r="R872" s="833" t="s">
        <v>4025</v>
      </c>
      <c r="S872" s="834"/>
      <c r="T872" s="850"/>
      <c r="U872" s="850"/>
      <c r="V872" s="850"/>
      <c r="W872" s="850"/>
      <c r="X872" s="850"/>
      <c r="Y872" s="850"/>
      <c r="Z872" s="850"/>
      <c r="AA872" s="850"/>
      <c r="AB872" s="850"/>
      <c r="AC872" s="850"/>
      <c r="AD872" s="850"/>
      <c r="AE872" s="850"/>
      <c r="AF872" s="835"/>
    </row>
    <row r="873" spans="1:32" ht="21">
      <c r="A873" s="827">
        <v>843</v>
      </c>
      <c r="B873" s="828" t="s">
        <v>4042</v>
      </c>
      <c r="C873" s="828" t="s">
        <v>2615</v>
      </c>
      <c r="D873" s="829" t="s">
        <v>2616</v>
      </c>
      <c r="E873" s="830" t="s">
        <v>4794</v>
      </c>
      <c r="F873" s="830" t="s">
        <v>4794</v>
      </c>
      <c r="G873" s="831">
        <v>3</v>
      </c>
      <c r="H873" s="830"/>
      <c r="I873" s="831">
        <v>3</v>
      </c>
      <c r="J873" s="830" t="s">
        <v>4794</v>
      </c>
      <c r="K873" s="831">
        <v>3</v>
      </c>
      <c r="L873" s="830" t="s">
        <v>4794</v>
      </c>
      <c r="M873" s="830" t="s">
        <v>4794</v>
      </c>
      <c r="N873" s="830" t="s">
        <v>4794</v>
      </c>
      <c r="O873" s="830" t="s">
        <v>4794</v>
      </c>
      <c r="P873" s="830" t="s">
        <v>4794</v>
      </c>
      <c r="Q873" s="832">
        <f t="shared" si="12"/>
        <v>9</v>
      </c>
      <c r="R873" s="833" t="s">
        <v>4025</v>
      </c>
      <c r="S873" s="834"/>
      <c r="T873" s="835"/>
      <c r="U873" s="835"/>
      <c r="V873" s="835"/>
      <c r="W873" s="835"/>
      <c r="X873" s="835"/>
      <c r="Y873" s="835"/>
      <c r="Z873" s="835"/>
      <c r="AA873" s="835"/>
      <c r="AB873" s="835"/>
      <c r="AC873" s="835"/>
      <c r="AD873" s="835"/>
      <c r="AE873" s="835"/>
      <c r="AF873" s="835"/>
    </row>
    <row r="874" spans="1:32" ht="21">
      <c r="A874" s="885">
        <v>844</v>
      </c>
      <c r="B874" s="828" t="s">
        <v>4042</v>
      </c>
      <c r="C874" s="828" t="s">
        <v>2617</v>
      </c>
      <c r="D874" s="829" t="s">
        <v>2618</v>
      </c>
      <c r="E874" s="830" t="s">
        <v>4794</v>
      </c>
      <c r="F874" s="830" t="s">
        <v>4794</v>
      </c>
      <c r="G874" s="830" t="s">
        <v>4794</v>
      </c>
      <c r="H874" s="830" t="s">
        <v>4794</v>
      </c>
      <c r="I874" s="831">
        <v>2</v>
      </c>
      <c r="J874" s="830"/>
      <c r="K874" s="831">
        <v>2</v>
      </c>
      <c r="L874" s="830" t="s">
        <v>4794</v>
      </c>
      <c r="M874" s="830" t="s">
        <v>4794</v>
      </c>
      <c r="N874" s="830" t="s">
        <v>4794</v>
      </c>
      <c r="O874" s="830" t="s">
        <v>4794</v>
      </c>
      <c r="P874" s="830" t="s">
        <v>4794</v>
      </c>
      <c r="Q874" s="832">
        <f t="shared" si="12"/>
        <v>4</v>
      </c>
      <c r="R874" s="833" t="s">
        <v>4025</v>
      </c>
      <c r="S874" s="834"/>
      <c r="T874" s="850"/>
      <c r="U874" s="850"/>
      <c r="V874" s="850"/>
      <c r="W874" s="850"/>
      <c r="X874" s="850"/>
      <c r="Y874" s="850"/>
      <c r="Z874" s="850"/>
      <c r="AA874" s="850"/>
      <c r="AB874" s="850"/>
      <c r="AC874" s="850"/>
      <c r="AD874" s="850"/>
      <c r="AE874" s="850"/>
      <c r="AF874" s="835"/>
    </row>
    <row r="875" spans="1:32" ht="31.5">
      <c r="A875" s="827">
        <v>845</v>
      </c>
      <c r="B875" s="828" t="s">
        <v>4042</v>
      </c>
      <c r="C875" s="828" t="s">
        <v>2619</v>
      </c>
      <c r="D875" s="829" t="s">
        <v>2620</v>
      </c>
      <c r="E875" s="830" t="s">
        <v>4794</v>
      </c>
      <c r="F875" s="830" t="s">
        <v>4794</v>
      </c>
      <c r="G875" s="830" t="s">
        <v>4794</v>
      </c>
      <c r="H875" s="830" t="s">
        <v>4794</v>
      </c>
      <c r="I875" s="831">
        <v>2</v>
      </c>
      <c r="J875" s="830"/>
      <c r="K875" s="831">
        <v>2</v>
      </c>
      <c r="L875" s="830" t="s">
        <v>4794</v>
      </c>
      <c r="M875" s="830" t="s">
        <v>4794</v>
      </c>
      <c r="N875" s="830" t="s">
        <v>4794</v>
      </c>
      <c r="O875" s="830" t="s">
        <v>4794</v>
      </c>
      <c r="P875" s="830" t="s">
        <v>4794</v>
      </c>
      <c r="Q875" s="832">
        <f t="shared" si="12"/>
        <v>4</v>
      </c>
      <c r="R875" s="833" t="s">
        <v>4025</v>
      </c>
      <c r="S875" s="834"/>
      <c r="T875" s="850"/>
      <c r="U875" s="850"/>
      <c r="V875" s="850"/>
      <c r="W875" s="850"/>
      <c r="X875" s="850"/>
      <c r="Y875" s="850"/>
      <c r="Z875" s="850"/>
      <c r="AA875" s="850"/>
      <c r="AB875" s="850"/>
      <c r="AC875" s="850"/>
      <c r="AD875" s="850"/>
      <c r="AE875" s="850"/>
      <c r="AF875" s="835"/>
    </row>
    <row r="876" spans="1:32" ht="42">
      <c r="A876" s="885">
        <v>846</v>
      </c>
      <c r="B876" s="828" t="s">
        <v>4042</v>
      </c>
      <c r="C876" s="828" t="s">
        <v>2621</v>
      </c>
      <c r="D876" s="829" t="s">
        <v>2622</v>
      </c>
      <c r="E876" s="830" t="s">
        <v>4794</v>
      </c>
      <c r="F876" s="830" t="s">
        <v>4794</v>
      </c>
      <c r="G876" s="830" t="s">
        <v>4794</v>
      </c>
      <c r="H876" s="830" t="s">
        <v>4794</v>
      </c>
      <c r="I876" s="830"/>
      <c r="J876" s="830" t="s">
        <v>4794</v>
      </c>
      <c r="K876" s="830" t="s">
        <v>4794</v>
      </c>
      <c r="L876" s="831">
        <v>1</v>
      </c>
      <c r="M876" s="830" t="s">
        <v>4794</v>
      </c>
      <c r="N876" s="830" t="s">
        <v>4794</v>
      </c>
      <c r="O876" s="830" t="s">
        <v>4794</v>
      </c>
      <c r="P876" s="830" t="s">
        <v>4794</v>
      </c>
      <c r="Q876" s="832">
        <f t="shared" si="12"/>
        <v>1</v>
      </c>
      <c r="R876" s="833" t="s">
        <v>4025</v>
      </c>
      <c r="S876" s="834"/>
      <c r="T876" s="850"/>
      <c r="U876" s="850"/>
      <c r="V876" s="850"/>
      <c r="W876" s="850"/>
      <c r="X876" s="850"/>
      <c r="Y876" s="850"/>
      <c r="Z876" s="850"/>
      <c r="AA876" s="850"/>
      <c r="AB876" s="850"/>
      <c r="AC876" s="850"/>
      <c r="AD876" s="850"/>
      <c r="AE876" s="850"/>
      <c r="AF876" s="835"/>
    </row>
    <row r="877" spans="1:32" ht="42">
      <c r="A877" s="827">
        <v>847</v>
      </c>
      <c r="B877" s="828" t="s">
        <v>4042</v>
      </c>
      <c r="C877" s="828" t="s">
        <v>2623</v>
      </c>
      <c r="D877" s="829" t="s">
        <v>2624</v>
      </c>
      <c r="E877" s="830" t="s">
        <v>4794</v>
      </c>
      <c r="F877" s="830" t="s">
        <v>4794</v>
      </c>
      <c r="G877" s="830" t="s">
        <v>4794</v>
      </c>
      <c r="H877" s="830" t="s">
        <v>4794</v>
      </c>
      <c r="I877" s="830"/>
      <c r="J877" s="830" t="s">
        <v>4794</v>
      </c>
      <c r="K877" s="830" t="s">
        <v>4794</v>
      </c>
      <c r="L877" s="831">
        <v>1</v>
      </c>
      <c r="M877" s="830" t="s">
        <v>4794</v>
      </c>
      <c r="N877" s="830" t="s">
        <v>4794</v>
      </c>
      <c r="O877" s="830" t="s">
        <v>4794</v>
      </c>
      <c r="P877" s="830" t="s">
        <v>4794</v>
      </c>
      <c r="Q877" s="832">
        <f t="shared" si="12"/>
        <v>1</v>
      </c>
      <c r="R877" s="833" t="s">
        <v>4025</v>
      </c>
      <c r="S877" s="834"/>
      <c r="T877" s="850"/>
      <c r="U877" s="850"/>
      <c r="V877" s="850"/>
      <c r="W877" s="850"/>
      <c r="X877" s="850"/>
      <c r="Y877" s="850"/>
      <c r="Z877" s="850"/>
      <c r="AA877" s="850"/>
      <c r="AB877" s="850"/>
      <c r="AC877" s="850"/>
      <c r="AD877" s="850"/>
      <c r="AE877" s="850"/>
      <c r="AF877" s="835"/>
    </row>
    <row r="878" spans="1:32" ht="73.5">
      <c r="A878" s="885">
        <v>848</v>
      </c>
      <c r="B878" s="828" t="s">
        <v>4042</v>
      </c>
      <c r="C878" s="828" t="s">
        <v>2625</v>
      </c>
      <c r="D878" s="829" t="s">
        <v>2626</v>
      </c>
      <c r="E878" s="830" t="s">
        <v>4794</v>
      </c>
      <c r="F878" s="830" t="s">
        <v>4794</v>
      </c>
      <c r="G878" s="830" t="s">
        <v>4794</v>
      </c>
      <c r="H878" s="831">
        <v>1</v>
      </c>
      <c r="I878" s="830"/>
      <c r="J878" s="831">
        <v>1</v>
      </c>
      <c r="K878" s="830" t="s">
        <v>4794</v>
      </c>
      <c r="L878" s="830" t="s">
        <v>4794</v>
      </c>
      <c r="M878" s="831">
        <v>1</v>
      </c>
      <c r="N878" s="830" t="s">
        <v>4794</v>
      </c>
      <c r="O878" s="830" t="s">
        <v>4794</v>
      </c>
      <c r="P878" s="830" t="s">
        <v>4794</v>
      </c>
      <c r="Q878" s="832">
        <f t="shared" si="12"/>
        <v>3</v>
      </c>
      <c r="R878" s="833" t="s">
        <v>4025</v>
      </c>
      <c r="S878" s="834"/>
      <c r="T878" s="850"/>
      <c r="U878" s="850"/>
      <c r="V878" s="850"/>
      <c r="W878" s="850"/>
      <c r="X878" s="850"/>
      <c r="Y878" s="850"/>
      <c r="Z878" s="850"/>
      <c r="AA878" s="850"/>
      <c r="AB878" s="850"/>
      <c r="AC878" s="850"/>
      <c r="AD878" s="850"/>
      <c r="AE878" s="850"/>
      <c r="AF878" s="835"/>
    </row>
    <row r="879" spans="1:32" ht="21">
      <c r="A879" s="827">
        <v>849</v>
      </c>
      <c r="B879" s="828" t="s">
        <v>4042</v>
      </c>
      <c r="C879" s="828" t="s">
        <v>2627</v>
      </c>
      <c r="D879" s="829" t="s">
        <v>2628</v>
      </c>
      <c r="E879" s="830" t="s">
        <v>4794</v>
      </c>
      <c r="F879" s="830" t="s">
        <v>4794</v>
      </c>
      <c r="G879" s="830"/>
      <c r="H879" s="830"/>
      <c r="I879" s="830"/>
      <c r="J879" s="830"/>
      <c r="K879" s="831">
        <v>3</v>
      </c>
      <c r="L879" s="830" t="s">
        <v>4794</v>
      </c>
      <c r="M879" s="830" t="s">
        <v>4794</v>
      </c>
      <c r="N879" s="830" t="s">
        <v>4794</v>
      </c>
      <c r="O879" s="830" t="s">
        <v>4794</v>
      </c>
      <c r="P879" s="830" t="s">
        <v>4794</v>
      </c>
      <c r="Q879" s="832">
        <f t="shared" si="12"/>
        <v>3</v>
      </c>
      <c r="R879" s="833" t="s">
        <v>4025</v>
      </c>
      <c r="S879" s="834"/>
      <c r="T879" s="850"/>
      <c r="U879" s="850"/>
      <c r="V879" s="850"/>
      <c r="W879" s="850"/>
      <c r="X879" s="850"/>
      <c r="Y879" s="850"/>
      <c r="Z879" s="850"/>
      <c r="AA879" s="850"/>
      <c r="AB879" s="850"/>
      <c r="AC879" s="850"/>
      <c r="AD879" s="850"/>
      <c r="AE879" s="850"/>
      <c r="AF879" s="835"/>
    </row>
    <row r="880" spans="1:32" ht="63">
      <c r="A880" s="885">
        <v>850</v>
      </c>
      <c r="B880" s="828" t="s">
        <v>4042</v>
      </c>
      <c r="C880" s="828" t="s">
        <v>2629</v>
      </c>
      <c r="D880" s="829" t="s">
        <v>2630</v>
      </c>
      <c r="E880" s="830" t="s">
        <v>4794</v>
      </c>
      <c r="F880" s="830" t="s">
        <v>4794</v>
      </c>
      <c r="G880" s="830" t="s">
        <v>4794</v>
      </c>
      <c r="H880" s="830" t="s">
        <v>4794</v>
      </c>
      <c r="I880" s="830" t="s">
        <v>4794</v>
      </c>
      <c r="J880" s="831">
        <v>10</v>
      </c>
      <c r="K880" s="830" t="s">
        <v>4794</v>
      </c>
      <c r="L880" s="830" t="s">
        <v>4794</v>
      </c>
      <c r="M880" s="830" t="s">
        <v>4794</v>
      </c>
      <c r="N880" s="830" t="s">
        <v>4794</v>
      </c>
      <c r="O880" s="830" t="s">
        <v>4794</v>
      </c>
      <c r="P880" s="830" t="s">
        <v>4794</v>
      </c>
      <c r="Q880" s="832">
        <f t="shared" si="12"/>
        <v>10</v>
      </c>
      <c r="R880" s="833" t="s">
        <v>4025</v>
      </c>
      <c r="S880" s="834"/>
      <c r="T880" s="850"/>
      <c r="U880" s="850"/>
      <c r="V880" s="850"/>
      <c r="W880" s="850"/>
      <c r="X880" s="850"/>
      <c r="Y880" s="850"/>
      <c r="Z880" s="850"/>
      <c r="AA880" s="850"/>
      <c r="AB880" s="850"/>
      <c r="AC880" s="850"/>
      <c r="AD880" s="850"/>
      <c r="AE880" s="850"/>
      <c r="AF880" s="835"/>
    </row>
    <row r="881" spans="1:32" ht="52.5">
      <c r="A881" s="827">
        <v>851</v>
      </c>
      <c r="B881" s="828" t="s">
        <v>4042</v>
      </c>
      <c r="C881" s="828" t="s">
        <v>2631</v>
      </c>
      <c r="D881" s="829" t="s">
        <v>2632</v>
      </c>
      <c r="E881" s="830" t="s">
        <v>4794</v>
      </c>
      <c r="F881" s="830" t="s">
        <v>4794</v>
      </c>
      <c r="G881" s="830" t="s">
        <v>4794</v>
      </c>
      <c r="H881" s="830" t="s">
        <v>4794</v>
      </c>
      <c r="I881" s="830" t="s">
        <v>4794</v>
      </c>
      <c r="J881" s="830" t="s">
        <v>4794</v>
      </c>
      <c r="K881" s="831">
        <v>4</v>
      </c>
      <c r="L881" s="830" t="s">
        <v>4794</v>
      </c>
      <c r="M881" s="830" t="s">
        <v>4794</v>
      </c>
      <c r="N881" s="830" t="s">
        <v>4794</v>
      </c>
      <c r="O881" s="830" t="s">
        <v>4794</v>
      </c>
      <c r="P881" s="830" t="s">
        <v>4794</v>
      </c>
      <c r="Q881" s="832">
        <f t="shared" si="12"/>
        <v>4</v>
      </c>
      <c r="R881" s="833" t="s">
        <v>4025</v>
      </c>
      <c r="S881" s="834"/>
      <c r="T881" s="850"/>
      <c r="U881" s="850"/>
      <c r="V881" s="850"/>
      <c r="W881" s="850"/>
      <c r="X881" s="850"/>
      <c r="Y881" s="850"/>
      <c r="Z881" s="850"/>
      <c r="AA881" s="850"/>
      <c r="AB881" s="850"/>
      <c r="AC881" s="850"/>
      <c r="AD881" s="850"/>
      <c r="AE881" s="850"/>
      <c r="AF881" s="835"/>
    </row>
    <row r="882" spans="1:32" ht="63">
      <c r="A882" s="885">
        <v>852</v>
      </c>
      <c r="B882" s="828" t="s">
        <v>4042</v>
      </c>
      <c r="C882" s="828" t="s">
        <v>2633</v>
      </c>
      <c r="D882" s="829" t="s">
        <v>2634</v>
      </c>
      <c r="E882" s="830" t="s">
        <v>4794</v>
      </c>
      <c r="F882" s="830" t="s">
        <v>4794</v>
      </c>
      <c r="G882" s="830" t="s">
        <v>4794</v>
      </c>
      <c r="H882" s="830" t="s">
        <v>4794</v>
      </c>
      <c r="I882" s="831">
        <v>3</v>
      </c>
      <c r="J882" s="831">
        <v>3</v>
      </c>
      <c r="K882" s="831">
        <v>4</v>
      </c>
      <c r="L882" s="830" t="s">
        <v>4794</v>
      </c>
      <c r="M882" s="830"/>
      <c r="N882" s="830" t="s">
        <v>4794</v>
      </c>
      <c r="O882" s="830" t="s">
        <v>4794</v>
      </c>
      <c r="P882" s="830" t="s">
        <v>4794</v>
      </c>
      <c r="Q882" s="832">
        <f t="shared" si="12"/>
        <v>10</v>
      </c>
      <c r="R882" s="833" t="s">
        <v>4025</v>
      </c>
      <c r="S882" s="834"/>
      <c r="T882" s="850"/>
      <c r="U882" s="850"/>
      <c r="V882" s="850"/>
      <c r="W882" s="850"/>
      <c r="X882" s="850"/>
      <c r="Y882" s="850"/>
      <c r="Z882" s="850"/>
      <c r="AA882" s="850"/>
      <c r="AB882" s="850"/>
      <c r="AC882" s="850"/>
      <c r="AD882" s="850"/>
      <c r="AE882" s="850"/>
      <c r="AF882" s="835"/>
    </row>
    <row r="883" spans="1:32" ht="63">
      <c r="A883" s="827">
        <v>853</v>
      </c>
      <c r="B883" s="828" t="s">
        <v>4042</v>
      </c>
      <c r="C883" s="828" t="s">
        <v>2635</v>
      </c>
      <c r="D883" s="829" t="s">
        <v>2636</v>
      </c>
      <c r="E883" s="830" t="s">
        <v>4794</v>
      </c>
      <c r="F883" s="830" t="s">
        <v>4794</v>
      </c>
      <c r="G883" s="830" t="s">
        <v>4794</v>
      </c>
      <c r="H883" s="831">
        <v>3</v>
      </c>
      <c r="I883" s="831">
        <v>3</v>
      </c>
      <c r="J883" s="831">
        <v>4</v>
      </c>
      <c r="K883" s="830"/>
      <c r="L883" s="830" t="s">
        <v>4794</v>
      </c>
      <c r="M883" s="830"/>
      <c r="N883" s="830" t="s">
        <v>4794</v>
      </c>
      <c r="O883" s="830" t="s">
        <v>4794</v>
      </c>
      <c r="P883" s="830" t="s">
        <v>4794</v>
      </c>
      <c r="Q883" s="832">
        <f t="shared" si="12"/>
        <v>10</v>
      </c>
      <c r="R883" s="833" t="s">
        <v>4025</v>
      </c>
      <c r="S883" s="834"/>
      <c r="T883" s="850"/>
      <c r="U883" s="850"/>
      <c r="V883" s="850"/>
      <c r="W883" s="850"/>
      <c r="X883" s="850"/>
      <c r="Y883" s="850"/>
      <c r="Z883" s="850"/>
      <c r="AA883" s="850"/>
      <c r="AB883" s="850"/>
      <c r="AC883" s="850"/>
      <c r="AD883" s="850"/>
      <c r="AE883" s="850"/>
      <c r="AF883" s="835"/>
    </row>
    <row r="884" spans="1:32" ht="63">
      <c r="A884" s="885">
        <v>854</v>
      </c>
      <c r="B884" s="828" t="s">
        <v>4042</v>
      </c>
      <c r="C884" s="828" t="s">
        <v>2637</v>
      </c>
      <c r="D884" s="829" t="s">
        <v>2638</v>
      </c>
      <c r="E884" s="830" t="s">
        <v>4794</v>
      </c>
      <c r="F884" s="830" t="s">
        <v>4794</v>
      </c>
      <c r="G884" s="830" t="s">
        <v>4794</v>
      </c>
      <c r="H884" s="830"/>
      <c r="I884" s="831">
        <v>4</v>
      </c>
      <c r="J884" s="830" t="s">
        <v>4794</v>
      </c>
      <c r="K884" s="830" t="s">
        <v>4794</v>
      </c>
      <c r="L884" s="830"/>
      <c r="M884" s="830" t="s">
        <v>4794</v>
      </c>
      <c r="N884" s="830" t="s">
        <v>4794</v>
      </c>
      <c r="O884" s="830" t="s">
        <v>4794</v>
      </c>
      <c r="P884" s="830" t="s">
        <v>4794</v>
      </c>
      <c r="Q884" s="832">
        <f t="shared" si="12"/>
        <v>4</v>
      </c>
      <c r="R884" s="833" t="s">
        <v>4025</v>
      </c>
      <c r="S884" s="834"/>
      <c r="T884" s="850"/>
      <c r="U884" s="850"/>
      <c r="V884" s="850"/>
      <c r="W884" s="850"/>
      <c r="X884" s="850"/>
      <c r="Y884" s="850"/>
      <c r="Z884" s="850"/>
      <c r="AA884" s="850"/>
      <c r="AB884" s="850"/>
      <c r="AC884" s="850"/>
      <c r="AD884" s="850"/>
      <c r="AE884" s="850"/>
      <c r="AF884" s="835"/>
    </row>
    <row r="885" spans="1:32" ht="52.5">
      <c r="A885" s="827">
        <v>855</v>
      </c>
      <c r="B885" s="828" t="s">
        <v>4042</v>
      </c>
      <c r="C885" s="828" t="s">
        <v>2639</v>
      </c>
      <c r="D885" s="829" t="s">
        <v>2640</v>
      </c>
      <c r="E885" s="830" t="s">
        <v>4794</v>
      </c>
      <c r="F885" s="830" t="s">
        <v>4794</v>
      </c>
      <c r="G885" s="830" t="s">
        <v>4794</v>
      </c>
      <c r="H885" s="830"/>
      <c r="I885" s="831">
        <v>2</v>
      </c>
      <c r="J885" s="831">
        <v>2</v>
      </c>
      <c r="K885" s="831">
        <v>2</v>
      </c>
      <c r="L885" s="831">
        <v>2</v>
      </c>
      <c r="M885" s="831">
        <v>2</v>
      </c>
      <c r="N885" s="830" t="s">
        <v>4794</v>
      </c>
      <c r="O885" s="830" t="s">
        <v>4794</v>
      </c>
      <c r="P885" s="830" t="s">
        <v>4794</v>
      </c>
      <c r="Q885" s="832">
        <f t="shared" si="12"/>
        <v>10</v>
      </c>
      <c r="R885" s="833" t="s">
        <v>4025</v>
      </c>
      <c r="S885" s="834"/>
      <c r="T885" s="850"/>
      <c r="U885" s="850"/>
      <c r="V885" s="850"/>
      <c r="W885" s="850"/>
      <c r="X885" s="850"/>
      <c r="Y885" s="850"/>
      <c r="Z885" s="850"/>
      <c r="AA885" s="850"/>
      <c r="AB885" s="850"/>
      <c r="AC885" s="850"/>
      <c r="AD885" s="850"/>
      <c r="AE885" s="850"/>
      <c r="AF885" s="835"/>
    </row>
    <row r="886" spans="1:32" ht="31.5">
      <c r="A886" s="885">
        <v>856</v>
      </c>
      <c r="B886" s="873" t="s">
        <v>4042</v>
      </c>
      <c r="C886" s="828" t="s">
        <v>2641</v>
      </c>
      <c r="D886" s="829" t="s">
        <v>2642</v>
      </c>
      <c r="E886" s="830" t="s">
        <v>4794</v>
      </c>
      <c r="F886" s="830" t="s">
        <v>4794</v>
      </c>
      <c r="G886" s="830" t="s">
        <v>4794</v>
      </c>
      <c r="H886" s="831">
        <v>10</v>
      </c>
      <c r="I886" s="831">
        <v>10</v>
      </c>
      <c r="J886" s="831">
        <v>10</v>
      </c>
      <c r="K886" s="830" t="s">
        <v>4794</v>
      </c>
      <c r="L886" s="830"/>
      <c r="M886" s="830" t="s">
        <v>4794</v>
      </c>
      <c r="N886" s="830" t="s">
        <v>4794</v>
      </c>
      <c r="O886" s="830" t="s">
        <v>4794</v>
      </c>
      <c r="P886" s="830" t="s">
        <v>4794</v>
      </c>
      <c r="Q886" s="832">
        <f t="shared" si="12"/>
        <v>30</v>
      </c>
      <c r="R886" s="876" t="s">
        <v>4025</v>
      </c>
      <c r="S886" s="834"/>
      <c r="T886" s="850"/>
      <c r="U886" s="850"/>
      <c r="V886" s="850"/>
      <c r="W886" s="850"/>
      <c r="X886" s="850"/>
      <c r="Y886" s="850"/>
      <c r="Z886" s="850"/>
      <c r="AA886" s="850"/>
      <c r="AB886" s="850"/>
      <c r="AC886" s="850"/>
      <c r="AD886" s="850"/>
      <c r="AE886" s="850"/>
      <c r="AF886" s="835"/>
    </row>
    <row r="887" spans="1:32">
      <c r="A887" s="827">
        <v>857</v>
      </c>
      <c r="B887" s="828" t="s">
        <v>4042</v>
      </c>
      <c r="C887" s="828">
        <v>9107663</v>
      </c>
      <c r="D887" s="914" t="s">
        <v>2643</v>
      </c>
      <c r="E887" s="830"/>
      <c r="F887" s="830"/>
      <c r="G887" s="830"/>
      <c r="H887" s="830"/>
      <c r="I887" s="831">
        <v>1</v>
      </c>
      <c r="J887" s="830"/>
      <c r="K887" s="830"/>
      <c r="L887" s="830"/>
      <c r="M887" s="830"/>
      <c r="N887" s="830"/>
      <c r="O887" s="830"/>
      <c r="P887" s="830"/>
      <c r="Q887" s="832">
        <f t="shared" si="12"/>
        <v>1</v>
      </c>
      <c r="R887" s="876" t="s">
        <v>4025</v>
      </c>
      <c r="S887" s="834"/>
      <c r="T887" s="850"/>
      <c r="U887" s="850"/>
      <c r="V887" s="850"/>
      <c r="W887" s="850"/>
      <c r="X887" s="850"/>
      <c r="Y887" s="850"/>
      <c r="Z887" s="850"/>
      <c r="AA887" s="850"/>
      <c r="AB887" s="850"/>
      <c r="AC887" s="850"/>
      <c r="AD887" s="850"/>
      <c r="AE887" s="850"/>
      <c r="AF887" s="835"/>
    </row>
    <row r="888" spans="1:32" ht="31.5">
      <c r="A888" s="885">
        <v>858</v>
      </c>
      <c r="B888" s="828" t="s">
        <v>4042</v>
      </c>
      <c r="C888" s="828">
        <v>9104110</v>
      </c>
      <c r="D888" s="829" t="s">
        <v>2644</v>
      </c>
      <c r="E888" s="830"/>
      <c r="F888" s="830"/>
      <c r="G888" s="830"/>
      <c r="H888" s="831">
        <v>1</v>
      </c>
      <c r="I888" s="830"/>
      <c r="J888" s="831">
        <v>1</v>
      </c>
      <c r="K888" s="830"/>
      <c r="L888" s="830"/>
      <c r="M888" s="830"/>
      <c r="N888" s="830"/>
      <c r="O888" s="830"/>
      <c r="P888" s="830"/>
      <c r="Q888" s="832">
        <f t="shared" si="12"/>
        <v>2</v>
      </c>
      <c r="R888" s="876" t="s">
        <v>4025</v>
      </c>
      <c r="S888" s="834"/>
      <c r="T888" s="850"/>
      <c r="U888" s="850"/>
      <c r="V888" s="850"/>
      <c r="W888" s="850"/>
      <c r="X888" s="850"/>
      <c r="Y888" s="850"/>
      <c r="Z888" s="850"/>
      <c r="AA888" s="850"/>
      <c r="AB888" s="850"/>
      <c r="AC888" s="850"/>
      <c r="AD888" s="850"/>
      <c r="AE888" s="850"/>
      <c r="AF888" s="835"/>
    </row>
    <row r="889" spans="1:32" ht="42">
      <c r="A889" s="827">
        <v>859</v>
      </c>
      <c r="B889" s="828" t="s">
        <v>4042</v>
      </c>
      <c r="C889" s="828">
        <v>9104583</v>
      </c>
      <c r="D889" s="829" t="s">
        <v>2645</v>
      </c>
      <c r="E889" s="830"/>
      <c r="F889" s="830"/>
      <c r="G889" s="830"/>
      <c r="H889" s="830"/>
      <c r="I889" s="830"/>
      <c r="J889" s="830"/>
      <c r="K889" s="831">
        <v>1</v>
      </c>
      <c r="L889" s="830"/>
      <c r="M889" s="830"/>
      <c r="N889" s="830"/>
      <c r="O889" s="830"/>
      <c r="P889" s="830"/>
      <c r="Q889" s="832">
        <f t="shared" si="12"/>
        <v>1</v>
      </c>
      <c r="R889" s="876" t="s">
        <v>4025</v>
      </c>
      <c r="S889" s="834"/>
      <c r="T889" s="850"/>
      <c r="U889" s="850"/>
      <c r="V889" s="850"/>
      <c r="W889" s="850"/>
      <c r="X889" s="850"/>
      <c r="Y889" s="850"/>
      <c r="Z889" s="850"/>
      <c r="AA889" s="850"/>
      <c r="AB889" s="850"/>
      <c r="AC889" s="850"/>
      <c r="AD889" s="850"/>
      <c r="AE889" s="850"/>
      <c r="AF889" s="835"/>
    </row>
    <row r="890" spans="1:32" ht="32.25" thickBot="1">
      <c r="A890" s="915">
        <v>860</v>
      </c>
      <c r="B890" s="839" t="s">
        <v>4042</v>
      </c>
      <c r="C890" s="839" t="s">
        <v>2646</v>
      </c>
      <c r="D890" s="840" t="s">
        <v>2647</v>
      </c>
      <c r="E890" s="841" t="s">
        <v>4794</v>
      </c>
      <c r="F890" s="841" t="s">
        <v>4794</v>
      </c>
      <c r="G890" s="841" t="s">
        <v>4794</v>
      </c>
      <c r="H890" s="841" t="s">
        <v>4794</v>
      </c>
      <c r="I890" s="841" t="s">
        <v>4794</v>
      </c>
      <c r="J890" s="841" t="s">
        <v>4794</v>
      </c>
      <c r="K890" s="842">
        <v>1</v>
      </c>
      <c r="L890" s="841" t="s">
        <v>4794</v>
      </c>
      <c r="M890" s="841" t="s">
        <v>4794</v>
      </c>
      <c r="N890" s="841" t="s">
        <v>4794</v>
      </c>
      <c r="O890" s="841" t="s">
        <v>4794</v>
      </c>
      <c r="P890" s="841" t="s">
        <v>4794</v>
      </c>
      <c r="Q890" s="843">
        <f t="shared" si="12"/>
        <v>1</v>
      </c>
      <c r="R890" s="844" t="s">
        <v>4025</v>
      </c>
      <c r="S890" s="834"/>
      <c r="T890" s="850"/>
      <c r="U890" s="850"/>
      <c r="V890" s="850"/>
      <c r="W890" s="850"/>
      <c r="X890" s="850"/>
      <c r="Y890" s="850"/>
      <c r="Z890" s="850"/>
      <c r="AA890" s="850"/>
      <c r="AB890" s="850"/>
      <c r="AC890" s="850"/>
      <c r="AD890" s="850"/>
      <c r="AE890" s="850"/>
      <c r="AF890" s="835"/>
    </row>
    <row r="891" spans="1:32" ht="21.75" thickBot="1">
      <c r="A891" s="903"/>
      <c r="B891" s="901"/>
      <c r="C891" s="901"/>
      <c r="D891" s="847" t="s">
        <v>4020</v>
      </c>
      <c r="E891" s="902"/>
      <c r="F891" s="902"/>
      <c r="G891" s="902"/>
      <c r="H891" s="902"/>
      <c r="I891" s="902"/>
      <c r="J891" s="902"/>
      <c r="K891" s="902"/>
      <c r="L891" s="902"/>
      <c r="M891" s="902"/>
      <c r="N891" s="902"/>
      <c r="O891" s="902"/>
      <c r="P891" s="902"/>
      <c r="Q891" s="849">
        <f t="shared" si="12"/>
        <v>0</v>
      </c>
      <c r="R891" s="903"/>
      <c r="S891" s="834"/>
      <c r="T891" s="850"/>
      <c r="U891" s="850"/>
      <c r="V891" s="850"/>
      <c r="W891" s="850"/>
      <c r="X891" s="850"/>
      <c r="Y891" s="850"/>
      <c r="Z891" s="850"/>
      <c r="AA891" s="850"/>
      <c r="AB891" s="850"/>
      <c r="AC891" s="850"/>
      <c r="AD891" s="850"/>
      <c r="AE891" s="850"/>
      <c r="AF891" s="835"/>
    </row>
    <row r="892" spans="1:32">
      <c r="A892" s="818">
        <v>861</v>
      </c>
      <c r="B892" s="819" t="s">
        <v>2648</v>
      </c>
      <c r="C892" s="819" t="s">
        <v>2649</v>
      </c>
      <c r="D892" s="820" t="s">
        <v>2650</v>
      </c>
      <c r="E892" s="821" t="s">
        <v>4794</v>
      </c>
      <c r="F892" s="821" t="s">
        <v>4794</v>
      </c>
      <c r="G892" s="822">
        <v>20</v>
      </c>
      <c r="H892" s="821" t="s">
        <v>4794</v>
      </c>
      <c r="I892" s="821" t="s">
        <v>4794</v>
      </c>
      <c r="J892" s="821" t="s">
        <v>4794</v>
      </c>
      <c r="K892" s="821" t="s">
        <v>4794</v>
      </c>
      <c r="L892" s="821" t="s">
        <v>4794</v>
      </c>
      <c r="M892" s="821" t="s">
        <v>4794</v>
      </c>
      <c r="N892" s="821" t="s">
        <v>4794</v>
      </c>
      <c r="O892" s="821" t="s">
        <v>4794</v>
      </c>
      <c r="P892" s="821" t="s">
        <v>4794</v>
      </c>
      <c r="Q892" s="823">
        <f t="shared" si="12"/>
        <v>20</v>
      </c>
      <c r="R892" s="824" t="s">
        <v>2257</v>
      </c>
      <c r="S892" s="834"/>
      <c r="T892" s="850"/>
      <c r="U892" s="850"/>
      <c r="V892" s="850"/>
      <c r="W892" s="850"/>
      <c r="X892" s="850"/>
      <c r="Y892" s="850"/>
      <c r="Z892" s="850"/>
      <c r="AA892" s="850"/>
      <c r="AB892" s="850"/>
      <c r="AC892" s="850"/>
      <c r="AD892" s="850"/>
      <c r="AE892" s="850"/>
      <c r="AF892" s="835"/>
    </row>
    <row r="893" spans="1:32" ht="21">
      <c r="A893" s="827">
        <v>862</v>
      </c>
      <c r="B893" s="828" t="s">
        <v>2648</v>
      </c>
      <c r="C893" s="828" t="s">
        <v>2651</v>
      </c>
      <c r="D893" s="829" t="s">
        <v>2652</v>
      </c>
      <c r="E893" s="830" t="s">
        <v>4794</v>
      </c>
      <c r="F893" s="830" t="s">
        <v>4794</v>
      </c>
      <c r="G893" s="831">
        <v>3</v>
      </c>
      <c r="H893" s="831">
        <v>3</v>
      </c>
      <c r="I893" s="831">
        <v>3</v>
      </c>
      <c r="J893" s="830" t="s">
        <v>4794</v>
      </c>
      <c r="K893" s="831">
        <v>3</v>
      </c>
      <c r="L893" s="831">
        <v>3</v>
      </c>
      <c r="M893" s="831">
        <v>3</v>
      </c>
      <c r="N893" s="830" t="s">
        <v>4794</v>
      </c>
      <c r="O893" s="830" t="s">
        <v>4794</v>
      </c>
      <c r="P893" s="830" t="s">
        <v>4794</v>
      </c>
      <c r="Q893" s="832">
        <f t="shared" si="12"/>
        <v>18</v>
      </c>
      <c r="R893" s="833" t="s">
        <v>4025</v>
      </c>
      <c r="S893" s="859"/>
      <c r="T893" s="859"/>
      <c r="U893" s="859"/>
      <c r="V893" s="859"/>
      <c r="W893" s="859"/>
      <c r="X893" s="859"/>
      <c r="Y893" s="859"/>
      <c r="Z893" s="859"/>
      <c r="AA893" s="859"/>
      <c r="AB893" s="859"/>
      <c r="AC893" s="859"/>
      <c r="AD893" s="859"/>
      <c r="AE893" s="859"/>
      <c r="AF893" s="859"/>
    </row>
    <row r="894" spans="1:32" ht="31.5">
      <c r="A894" s="827">
        <v>863</v>
      </c>
      <c r="B894" s="828" t="s">
        <v>2648</v>
      </c>
      <c r="C894" s="828" t="s">
        <v>2653</v>
      </c>
      <c r="D894" s="829" t="s">
        <v>2654</v>
      </c>
      <c r="E894" s="831">
        <v>10</v>
      </c>
      <c r="F894" s="831">
        <v>10</v>
      </c>
      <c r="G894" s="831">
        <v>10</v>
      </c>
      <c r="H894" s="830" t="s">
        <v>4794</v>
      </c>
      <c r="I894" s="830" t="s">
        <v>4794</v>
      </c>
      <c r="J894" s="830" t="s">
        <v>4794</v>
      </c>
      <c r="K894" s="830" t="s">
        <v>4794</v>
      </c>
      <c r="L894" s="830" t="s">
        <v>4794</v>
      </c>
      <c r="M894" s="830" t="s">
        <v>4794</v>
      </c>
      <c r="N894" s="831">
        <v>5</v>
      </c>
      <c r="O894" s="831">
        <v>10</v>
      </c>
      <c r="P894" s="831">
        <v>10</v>
      </c>
      <c r="Q894" s="832">
        <f t="shared" si="12"/>
        <v>55</v>
      </c>
      <c r="R894" s="833" t="s">
        <v>2257</v>
      </c>
      <c r="S894" s="834"/>
      <c r="T894" s="850"/>
      <c r="U894" s="850"/>
      <c r="V894" s="850"/>
      <c r="W894" s="850"/>
      <c r="X894" s="850"/>
      <c r="Y894" s="850"/>
      <c r="Z894" s="850"/>
      <c r="AA894" s="850"/>
      <c r="AB894" s="850"/>
      <c r="AC894" s="850"/>
      <c r="AD894" s="850"/>
      <c r="AE894" s="850"/>
      <c r="AF894" s="835"/>
    </row>
    <row r="895" spans="1:32" ht="21">
      <c r="A895" s="827">
        <v>864</v>
      </c>
      <c r="B895" s="828" t="s">
        <v>2648</v>
      </c>
      <c r="C895" s="828" t="s">
        <v>2655</v>
      </c>
      <c r="D895" s="829" t="s">
        <v>2656</v>
      </c>
      <c r="E895" s="831">
        <v>2</v>
      </c>
      <c r="F895" s="830" t="s">
        <v>4794</v>
      </c>
      <c r="G895" s="831">
        <v>2</v>
      </c>
      <c r="H895" s="830" t="s">
        <v>4794</v>
      </c>
      <c r="I895" s="831">
        <v>2</v>
      </c>
      <c r="J895" s="830" t="s">
        <v>4794</v>
      </c>
      <c r="K895" s="831">
        <v>2</v>
      </c>
      <c r="L895" s="830" t="s">
        <v>4794</v>
      </c>
      <c r="M895" s="831">
        <v>2</v>
      </c>
      <c r="N895" s="830" t="s">
        <v>4794</v>
      </c>
      <c r="O895" s="830" t="s">
        <v>4794</v>
      </c>
      <c r="P895" s="830" t="s">
        <v>4794</v>
      </c>
      <c r="Q895" s="832">
        <f t="shared" si="12"/>
        <v>10</v>
      </c>
      <c r="R895" s="833" t="s">
        <v>4025</v>
      </c>
      <c r="S895" s="834"/>
      <c r="T895" s="850"/>
      <c r="U895" s="850"/>
      <c r="V895" s="850"/>
      <c r="W895" s="850"/>
      <c r="X895" s="850"/>
      <c r="Y895" s="850"/>
      <c r="Z895" s="850"/>
      <c r="AA895" s="850"/>
      <c r="AB895" s="850"/>
      <c r="AC895" s="850"/>
      <c r="AD895" s="850"/>
      <c r="AE895" s="850"/>
      <c r="AF895" s="835"/>
    </row>
    <row r="896" spans="1:32" ht="21">
      <c r="A896" s="827">
        <v>865</v>
      </c>
      <c r="B896" s="828" t="s">
        <v>2648</v>
      </c>
      <c r="C896" s="828" t="s">
        <v>2657</v>
      </c>
      <c r="D896" s="829" t="s">
        <v>2658</v>
      </c>
      <c r="E896" s="830" t="s">
        <v>4794</v>
      </c>
      <c r="F896" s="830" t="s">
        <v>4794</v>
      </c>
      <c r="G896" s="830" t="s">
        <v>4794</v>
      </c>
      <c r="H896" s="831">
        <v>10</v>
      </c>
      <c r="I896" s="830" t="s">
        <v>4794</v>
      </c>
      <c r="J896" s="831">
        <v>10</v>
      </c>
      <c r="K896" s="830" t="s">
        <v>4794</v>
      </c>
      <c r="L896" s="830" t="s">
        <v>4794</v>
      </c>
      <c r="M896" s="830" t="s">
        <v>4794</v>
      </c>
      <c r="N896" s="830" t="s">
        <v>4794</v>
      </c>
      <c r="O896" s="830" t="s">
        <v>4794</v>
      </c>
      <c r="P896" s="830" t="s">
        <v>4794</v>
      </c>
      <c r="Q896" s="832">
        <f t="shared" si="12"/>
        <v>20</v>
      </c>
      <c r="R896" s="833" t="s">
        <v>2257</v>
      </c>
      <c r="S896" s="834"/>
      <c r="T896" s="850"/>
      <c r="U896" s="850"/>
      <c r="V896" s="850"/>
      <c r="W896" s="850"/>
      <c r="X896" s="850"/>
      <c r="Y896" s="850"/>
      <c r="Z896" s="850"/>
      <c r="AA896" s="850"/>
      <c r="AB896" s="850"/>
      <c r="AC896" s="850"/>
      <c r="AD896" s="850"/>
      <c r="AE896" s="850"/>
      <c r="AF896" s="835"/>
    </row>
    <row r="897" spans="1:32" ht="21">
      <c r="A897" s="827">
        <v>866</v>
      </c>
      <c r="B897" s="828" t="s">
        <v>2648</v>
      </c>
      <c r="C897" s="828" t="s">
        <v>2659</v>
      </c>
      <c r="D897" s="829" t="s">
        <v>2660</v>
      </c>
      <c r="E897" s="830" t="s">
        <v>4794</v>
      </c>
      <c r="F897" s="830"/>
      <c r="G897" s="831">
        <v>200</v>
      </c>
      <c r="H897" s="830" t="s">
        <v>4794</v>
      </c>
      <c r="I897" s="831">
        <v>200</v>
      </c>
      <c r="J897" s="830" t="s">
        <v>4794</v>
      </c>
      <c r="K897" s="831">
        <v>400</v>
      </c>
      <c r="L897" s="831">
        <v>200</v>
      </c>
      <c r="M897" s="830" t="s">
        <v>4794</v>
      </c>
      <c r="N897" s="831">
        <v>200</v>
      </c>
      <c r="O897" s="830" t="s">
        <v>4794</v>
      </c>
      <c r="P897" s="830" t="s">
        <v>4794</v>
      </c>
      <c r="Q897" s="832">
        <f t="shared" si="12"/>
        <v>1200</v>
      </c>
      <c r="R897" s="833" t="s">
        <v>2257</v>
      </c>
      <c r="S897" s="834"/>
      <c r="T897" s="877"/>
      <c r="U897" s="877"/>
      <c r="V897" s="877"/>
      <c r="W897" s="877"/>
      <c r="X897" s="877"/>
      <c r="Y897" s="877"/>
      <c r="Z897" s="877"/>
      <c r="AA897" s="877"/>
      <c r="AB897" s="877"/>
      <c r="AC897" s="877"/>
      <c r="AD897" s="877"/>
      <c r="AE897" s="877"/>
      <c r="AF897" s="835"/>
    </row>
    <row r="898" spans="1:32" ht="42">
      <c r="A898" s="827">
        <v>867</v>
      </c>
      <c r="B898" s="828" t="s">
        <v>2648</v>
      </c>
      <c r="C898" s="828" t="s">
        <v>2661</v>
      </c>
      <c r="D898" s="829" t="s">
        <v>2662</v>
      </c>
      <c r="E898" s="830" t="s">
        <v>4794</v>
      </c>
      <c r="F898" s="830" t="s">
        <v>4794</v>
      </c>
      <c r="G898" s="831">
        <v>1</v>
      </c>
      <c r="H898" s="830" t="s">
        <v>4794</v>
      </c>
      <c r="I898" s="831">
        <v>1</v>
      </c>
      <c r="J898" s="830" t="s">
        <v>4794</v>
      </c>
      <c r="K898" s="831">
        <v>1</v>
      </c>
      <c r="L898" s="830" t="s">
        <v>4794</v>
      </c>
      <c r="M898" s="830" t="s">
        <v>4794</v>
      </c>
      <c r="N898" s="831">
        <v>1</v>
      </c>
      <c r="O898" s="830" t="s">
        <v>4794</v>
      </c>
      <c r="P898" s="830" t="s">
        <v>4794</v>
      </c>
      <c r="Q898" s="832">
        <f t="shared" si="12"/>
        <v>4</v>
      </c>
      <c r="R898" s="833" t="s">
        <v>4025</v>
      </c>
      <c r="S898" s="834"/>
      <c r="T898" s="850"/>
      <c r="U898" s="850"/>
      <c r="V898" s="850"/>
      <c r="W898" s="850"/>
      <c r="X898" s="850"/>
      <c r="Y898" s="850"/>
      <c r="Z898" s="850"/>
      <c r="AA898" s="850"/>
      <c r="AB898" s="850"/>
      <c r="AC898" s="850"/>
      <c r="AD898" s="850"/>
      <c r="AE898" s="850"/>
      <c r="AF898" s="835"/>
    </row>
    <row r="899" spans="1:32" ht="31.5">
      <c r="A899" s="827">
        <v>868</v>
      </c>
      <c r="B899" s="828" t="s">
        <v>2648</v>
      </c>
      <c r="C899" s="828" t="s">
        <v>2663</v>
      </c>
      <c r="D899" s="829" t="s">
        <v>2664</v>
      </c>
      <c r="E899" s="830" t="s">
        <v>4794</v>
      </c>
      <c r="F899" s="830"/>
      <c r="G899" s="830" t="s">
        <v>4794</v>
      </c>
      <c r="H899" s="831">
        <v>10</v>
      </c>
      <c r="I899" s="830" t="s">
        <v>4794</v>
      </c>
      <c r="J899" s="831">
        <v>10</v>
      </c>
      <c r="K899" s="830" t="s">
        <v>4794</v>
      </c>
      <c r="L899" s="831">
        <v>10</v>
      </c>
      <c r="M899" s="830" t="s">
        <v>4794</v>
      </c>
      <c r="N899" s="830" t="s">
        <v>4794</v>
      </c>
      <c r="O899" s="830" t="s">
        <v>4794</v>
      </c>
      <c r="P899" s="830" t="s">
        <v>4794</v>
      </c>
      <c r="Q899" s="832">
        <f t="shared" si="12"/>
        <v>30</v>
      </c>
      <c r="R899" s="833" t="s">
        <v>3714</v>
      </c>
      <c r="S899" s="834"/>
      <c r="T899" s="850"/>
      <c r="U899" s="850"/>
      <c r="V899" s="850"/>
      <c r="W899" s="850"/>
      <c r="X899" s="850"/>
      <c r="Y899" s="850"/>
      <c r="Z899" s="850"/>
      <c r="AA899" s="850"/>
      <c r="AB899" s="850"/>
      <c r="AC899" s="850"/>
      <c r="AD899" s="850"/>
      <c r="AE899" s="850"/>
      <c r="AF899" s="835"/>
    </row>
    <row r="900" spans="1:32" ht="52.5">
      <c r="A900" s="827">
        <v>869</v>
      </c>
      <c r="B900" s="828" t="s">
        <v>2648</v>
      </c>
      <c r="C900" s="828" t="s">
        <v>2665</v>
      </c>
      <c r="D900" s="829" t="s">
        <v>2666</v>
      </c>
      <c r="E900" s="830" t="s">
        <v>4794</v>
      </c>
      <c r="F900" s="830" t="s">
        <v>4794</v>
      </c>
      <c r="G900" s="831">
        <v>10</v>
      </c>
      <c r="H900" s="830" t="s">
        <v>4794</v>
      </c>
      <c r="I900" s="830" t="s">
        <v>4794</v>
      </c>
      <c r="J900" s="831">
        <v>10</v>
      </c>
      <c r="K900" s="830" t="s">
        <v>4794</v>
      </c>
      <c r="L900" s="831">
        <v>10</v>
      </c>
      <c r="M900" s="830" t="s">
        <v>4794</v>
      </c>
      <c r="N900" s="831">
        <v>10</v>
      </c>
      <c r="O900" s="830" t="s">
        <v>4794</v>
      </c>
      <c r="P900" s="830" t="s">
        <v>4794</v>
      </c>
      <c r="Q900" s="832">
        <f t="shared" si="12"/>
        <v>40</v>
      </c>
      <c r="R900" s="833" t="s">
        <v>4025</v>
      </c>
      <c r="S900" s="834"/>
      <c r="T900" s="850"/>
      <c r="U900" s="850"/>
      <c r="V900" s="850"/>
      <c r="W900" s="850"/>
      <c r="X900" s="850"/>
      <c r="Y900" s="850"/>
      <c r="Z900" s="850"/>
      <c r="AA900" s="850"/>
      <c r="AB900" s="850"/>
      <c r="AC900" s="850"/>
      <c r="AD900" s="850"/>
      <c r="AE900" s="850"/>
      <c r="AF900" s="835"/>
    </row>
    <row r="901" spans="1:32" ht="31.5">
      <c r="A901" s="827">
        <v>870</v>
      </c>
      <c r="B901" s="828" t="s">
        <v>2648</v>
      </c>
      <c r="C901" s="828" t="s">
        <v>2667</v>
      </c>
      <c r="D901" s="829" t="s">
        <v>2668</v>
      </c>
      <c r="E901" s="830" t="s">
        <v>4794</v>
      </c>
      <c r="F901" s="830" t="s">
        <v>4794</v>
      </c>
      <c r="G901" s="831">
        <v>2</v>
      </c>
      <c r="H901" s="830" t="s">
        <v>4794</v>
      </c>
      <c r="I901" s="831">
        <v>2</v>
      </c>
      <c r="J901" s="830" t="s">
        <v>4794</v>
      </c>
      <c r="K901" s="831">
        <v>2</v>
      </c>
      <c r="L901" s="830" t="s">
        <v>4794</v>
      </c>
      <c r="M901" s="831">
        <v>2</v>
      </c>
      <c r="N901" s="830" t="s">
        <v>4794</v>
      </c>
      <c r="O901" s="831">
        <v>2</v>
      </c>
      <c r="P901" s="830" t="s">
        <v>4794</v>
      </c>
      <c r="Q901" s="832">
        <f t="shared" si="12"/>
        <v>10</v>
      </c>
      <c r="R901" s="833" t="s">
        <v>2257</v>
      </c>
      <c r="S901" s="853"/>
      <c r="T901" s="850"/>
      <c r="U901" s="850"/>
      <c r="V901" s="850"/>
      <c r="W901" s="850"/>
      <c r="X901" s="850"/>
      <c r="Y901" s="850"/>
      <c r="Z901" s="850"/>
      <c r="AA901" s="850"/>
      <c r="AB901" s="850"/>
      <c r="AC901" s="850"/>
      <c r="AD901" s="850"/>
      <c r="AE901" s="850"/>
      <c r="AF901" s="835"/>
    </row>
    <row r="902" spans="1:32">
      <c r="A902" s="827">
        <v>871</v>
      </c>
      <c r="B902" s="828" t="s">
        <v>2648</v>
      </c>
      <c r="C902" s="828" t="s">
        <v>2669</v>
      </c>
      <c r="D902" s="829" t="s">
        <v>2670</v>
      </c>
      <c r="E902" s="830" t="s">
        <v>4794</v>
      </c>
      <c r="F902" s="830"/>
      <c r="G902" s="830" t="s">
        <v>4794</v>
      </c>
      <c r="H902" s="831">
        <v>10</v>
      </c>
      <c r="I902" s="830" t="s">
        <v>4794</v>
      </c>
      <c r="J902" s="831">
        <v>10</v>
      </c>
      <c r="K902" s="830" t="s">
        <v>4794</v>
      </c>
      <c r="L902" s="831">
        <v>10</v>
      </c>
      <c r="M902" s="830" t="s">
        <v>4794</v>
      </c>
      <c r="N902" s="831">
        <v>10</v>
      </c>
      <c r="O902" s="830" t="s">
        <v>4794</v>
      </c>
      <c r="P902" s="830" t="s">
        <v>4794</v>
      </c>
      <c r="Q902" s="832">
        <f t="shared" si="12"/>
        <v>40</v>
      </c>
      <c r="R902" s="833" t="s">
        <v>2257</v>
      </c>
      <c r="S902" s="834"/>
      <c r="T902" s="877"/>
      <c r="U902" s="877"/>
      <c r="V902" s="877"/>
      <c r="W902" s="877"/>
      <c r="X902" s="877"/>
      <c r="Y902" s="877"/>
      <c r="Z902" s="877"/>
      <c r="AA902" s="877"/>
      <c r="AB902" s="877"/>
      <c r="AC902" s="877"/>
      <c r="AD902" s="877"/>
      <c r="AE902" s="877"/>
      <c r="AF902" s="835"/>
    </row>
    <row r="903" spans="1:32" ht="21">
      <c r="A903" s="827">
        <v>872</v>
      </c>
      <c r="B903" s="828" t="s">
        <v>2648</v>
      </c>
      <c r="C903" s="828" t="s">
        <v>2671</v>
      </c>
      <c r="D903" s="829" t="s">
        <v>2672</v>
      </c>
      <c r="E903" s="830" t="s">
        <v>4794</v>
      </c>
      <c r="F903" s="830" t="s">
        <v>4794</v>
      </c>
      <c r="G903" s="830" t="s">
        <v>4794</v>
      </c>
      <c r="H903" s="831">
        <v>50</v>
      </c>
      <c r="I903" s="830" t="s">
        <v>4794</v>
      </c>
      <c r="J903" s="830" t="s">
        <v>4794</v>
      </c>
      <c r="K903" s="831">
        <v>50</v>
      </c>
      <c r="L903" s="830" t="s">
        <v>4794</v>
      </c>
      <c r="M903" s="830" t="s">
        <v>4794</v>
      </c>
      <c r="N903" s="830" t="s">
        <v>4794</v>
      </c>
      <c r="O903" s="830" t="s">
        <v>4794</v>
      </c>
      <c r="P903" s="830" t="s">
        <v>4794</v>
      </c>
      <c r="Q903" s="832">
        <f t="shared" si="12"/>
        <v>100</v>
      </c>
      <c r="R903" s="833" t="s">
        <v>2257</v>
      </c>
      <c r="S903" s="834"/>
      <c r="T903" s="850"/>
      <c r="U903" s="850"/>
      <c r="V903" s="850"/>
      <c r="W903" s="850"/>
      <c r="X903" s="850"/>
      <c r="Y903" s="850"/>
      <c r="Z903" s="850"/>
      <c r="AA903" s="850"/>
      <c r="AB903" s="850"/>
      <c r="AC903" s="850"/>
      <c r="AD903" s="850"/>
      <c r="AE903" s="850"/>
      <c r="AF903" s="835"/>
    </row>
    <row r="904" spans="1:32" ht="32.25" thickBot="1">
      <c r="A904" s="838">
        <v>873</v>
      </c>
      <c r="B904" s="916" t="s">
        <v>2648</v>
      </c>
      <c r="C904" s="916" t="s">
        <v>2673</v>
      </c>
      <c r="D904" s="917" t="s">
        <v>2674</v>
      </c>
      <c r="E904" s="918" t="s">
        <v>4794</v>
      </c>
      <c r="F904" s="918" t="s">
        <v>4794</v>
      </c>
      <c r="G904" s="918"/>
      <c r="H904" s="918" t="s">
        <v>4794</v>
      </c>
      <c r="I904" s="919">
        <v>5</v>
      </c>
      <c r="J904" s="918" t="s">
        <v>4794</v>
      </c>
      <c r="K904" s="918" t="s">
        <v>4794</v>
      </c>
      <c r="L904" s="919">
        <v>7</v>
      </c>
      <c r="M904" s="918" t="s">
        <v>4794</v>
      </c>
      <c r="N904" s="918" t="s">
        <v>4794</v>
      </c>
      <c r="O904" s="918" t="s">
        <v>4794</v>
      </c>
      <c r="P904" s="918" t="s">
        <v>4794</v>
      </c>
      <c r="Q904" s="843">
        <f t="shared" si="12"/>
        <v>12</v>
      </c>
      <c r="R904" s="900" t="s">
        <v>4025</v>
      </c>
      <c r="S904" s="834"/>
      <c r="T904" s="850"/>
      <c r="U904" s="850"/>
      <c r="V904" s="850"/>
      <c r="W904" s="850"/>
      <c r="X904" s="850"/>
      <c r="Y904" s="850"/>
      <c r="Z904" s="850"/>
      <c r="AA904" s="850"/>
      <c r="AB904" s="850"/>
      <c r="AC904" s="850"/>
      <c r="AD904" s="850"/>
      <c r="AE904" s="850"/>
      <c r="AF904" s="835"/>
    </row>
    <row r="905" spans="1:32" ht="21.75" thickBot="1">
      <c r="A905" s="903"/>
      <c r="B905" s="901"/>
      <c r="C905" s="901"/>
      <c r="D905" s="847" t="s">
        <v>4020</v>
      </c>
      <c r="E905" s="902"/>
      <c r="F905" s="902"/>
      <c r="G905" s="902"/>
      <c r="H905" s="902"/>
      <c r="I905" s="902"/>
      <c r="J905" s="902"/>
      <c r="K905" s="902"/>
      <c r="L905" s="902"/>
      <c r="M905" s="902"/>
      <c r="N905" s="902"/>
      <c r="O905" s="902"/>
      <c r="P905" s="902"/>
      <c r="Q905" s="849">
        <f t="shared" si="12"/>
        <v>0</v>
      </c>
      <c r="R905" s="903"/>
      <c r="S905" s="834"/>
      <c r="T905" s="877"/>
      <c r="U905" s="877"/>
      <c r="V905" s="877"/>
      <c r="W905" s="877"/>
      <c r="X905" s="877"/>
      <c r="Y905" s="877"/>
      <c r="Z905" s="877"/>
      <c r="AA905" s="877"/>
      <c r="AB905" s="877"/>
      <c r="AC905" s="877"/>
      <c r="AD905" s="877"/>
      <c r="AE905" s="877"/>
      <c r="AF905" s="835"/>
    </row>
    <row r="906" spans="1:32" ht="42">
      <c r="A906" s="818">
        <v>875</v>
      </c>
      <c r="B906" s="819" t="s">
        <v>2675</v>
      </c>
      <c r="C906" s="920">
        <v>3701212</v>
      </c>
      <c r="D906" s="921" t="s">
        <v>2676</v>
      </c>
      <c r="E906" s="922"/>
      <c r="F906" s="923"/>
      <c r="G906" s="924">
        <v>2</v>
      </c>
      <c r="H906" s="923"/>
      <c r="I906" s="924">
        <v>2</v>
      </c>
      <c r="J906" s="923"/>
      <c r="K906" s="924">
        <v>2</v>
      </c>
      <c r="L906" s="923"/>
      <c r="M906" s="924">
        <v>2</v>
      </c>
      <c r="N906" s="923"/>
      <c r="O906" s="923"/>
      <c r="P906" s="923"/>
      <c r="Q906" s="823">
        <f t="shared" si="12"/>
        <v>8</v>
      </c>
      <c r="R906" s="824" t="s">
        <v>4025</v>
      </c>
      <c r="S906" s="834"/>
      <c r="T906" s="877"/>
      <c r="U906" s="877"/>
      <c r="V906" s="877"/>
      <c r="W906" s="877"/>
      <c r="X906" s="877"/>
      <c r="Y906" s="877"/>
      <c r="Z906" s="877"/>
      <c r="AA906" s="877"/>
      <c r="AB906" s="877"/>
      <c r="AC906" s="877"/>
      <c r="AD906" s="877"/>
      <c r="AE906" s="877"/>
      <c r="AF906" s="835"/>
    </row>
    <row r="907" spans="1:32" ht="31.5">
      <c r="A907" s="827">
        <v>876</v>
      </c>
      <c r="B907" s="828" t="s">
        <v>2675</v>
      </c>
      <c r="C907" s="828" t="s">
        <v>2677</v>
      </c>
      <c r="D907" s="829" t="s">
        <v>2678</v>
      </c>
      <c r="E907" s="830" t="s">
        <v>4794</v>
      </c>
      <c r="F907" s="830" t="s">
        <v>4794</v>
      </c>
      <c r="G907" s="830" t="s">
        <v>4794</v>
      </c>
      <c r="H907" s="830"/>
      <c r="I907" s="830" t="s">
        <v>4794</v>
      </c>
      <c r="J907" s="831">
        <v>2</v>
      </c>
      <c r="K907" s="830"/>
      <c r="L907" s="830" t="s">
        <v>4794</v>
      </c>
      <c r="M907" s="830" t="s">
        <v>4794</v>
      </c>
      <c r="N907" s="830" t="s">
        <v>4794</v>
      </c>
      <c r="O907" s="830" t="s">
        <v>4794</v>
      </c>
      <c r="P907" s="830" t="s">
        <v>4794</v>
      </c>
      <c r="Q907" s="832">
        <f t="shared" si="12"/>
        <v>2</v>
      </c>
      <c r="R907" s="833" t="s">
        <v>4025</v>
      </c>
      <c r="S907" s="834"/>
      <c r="T907" s="877"/>
      <c r="U907" s="877"/>
      <c r="V907" s="877"/>
      <c r="W907" s="877"/>
      <c r="X907" s="877"/>
      <c r="Y907" s="877"/>
      <c r="Z907" s="877"/>
      <c r="AA907" s="877"/>
      <c r="AB907" s="877"/>
      <c r="AC907" s="877"/>
      <c r="AD907" s="877"/>
      <c r="AE907" s="877"/>
      <c r="AF907" s="835"/>
    </row>
    <row r="908" spans="1:32" ht="52.5">
      <c r="A908" s="827">
        <v>877</v>
      </c>
      <c r="B908" s="828" t="s">
        <v>2675</v>
      </c>
      <c r="C908" s="828" t="s">
        <v>2679</v>
      </c>
      <c r="D908" s="829" t="s">
        <v>2680</v>
      </c>
      <c r="E908" s="830" t="s">
        <v>4794</v>
      </c>
      <c r="F908" s="830"/>
      <c r="G908" s="830" t="s">
        <v>4794</v>
      </c>
      <c r="H908" s="830" t="s">
        <v>4794</v>
      </c>
      <c r="I908" s="830"/>
      <c r="J908" s="831">
        <v>3</v>
      </c>
      <c r="K908" s="830" t="s">
        <v>4794</v>
      </c>
      <c r="L908" s="830" t="s">
        <v>4794</v>
      </c>
      <c r="M908" s="830"/>
      <c r="N908" s="830" t="s">
        <v>4794</v>
      </c>
      <c r="O908" s="830" t="s">
        <v>4794</v>
      </c>
      <c r="P908" s="830" t="s">
        <v>4794</v>
      </c>
      <c r="Q908" s="832">
        <f t="shared" si="12"/>
        <v>3</v>
      </c>
      <c r="R908" s="833" t="s">
        <v>4025</v>
      </c>
      <c r="S908" s="834"/>
      <c r="T908" s="877"/>
      <c r="U908" s="877"/>
      <c r="V908" s="877"/>
      <c r="W908" s="877"/>
      <c r="X908" s="877"/>
      <c r="Y908" s="877"/>
      <c r="Z908" s="877"/>
      <c r="AA908" s="877"/>
      <c r="AB908" s="877"/>
      <c r="AC908" s="877"/>
      <c r="AD908" s="877"/>
      <c r="AE908" s="877"/>
      <c r="AF908" s="835"/>
    </row>
    <row r="909" spans="1:32" ht="52.5">
      <c r="A909" s="827">
        <v>878</v>
      </c>
      <c r="B909" s="828" t="s">
        <v>2675</v>
      </c>
      <c r="C909" s="828" t="s">
        <v>2681</v>
      </c>
      <c r="D909" s="829" t="s">
        <v>2682</v>
      </c>
      <c r="E909" s="830" t="s">
        <v>4794</v>
      </c>
      <c r="F909" s="830" t="s">
        <v>4794</v>
      </c>
      <c r="G909" s="830" t="s">
        <v>4794</v>
      </c>
      <c r="H909" s="830"/>
      <c r="I909" s="830" t="s">
        <v>4794</v>
      </c>
      <c r="J909" s="831">
        <v>8</v>
      </c>
      <c r="K909" s="830"/>
      <c r="L909" s="830" t="s">
        <v>4794</v>
      </c>
      <c r="M909" s="830" t="s">
        <v>4794</v>
      </c>
      <c r="N909" s="830" t="s">
        <v>4794</v>
      </c>
      <c r="O909" s="830" t="s">
        <v>4794</v>
      </c>
      <c r="P909" s="830" t="s">
        <v>4794</v>
      </c>
      <c r="Q909" s="832">
        <f t="shared" si="12"/>
        <v>8</v>
      </c>
      <c r="R909" s="833" t="s">
        <v>4025</v>
      </c>
      <c r="S909" s="834"/>
      <c r="T909" s="877"/>
      <c r="U909" s="877"/>
      <c r="V909" s="877"/>
      <c r="W909" s="877"/>
      <c r="X909" s="877"/>
      <c r="Y909" s="877"/>
      <c r="Z909" s="877"/>
      <c r="AA909" s="877"/>
      <c r="AB909" s="877"/>
      <c r="AC909" s="877"/>
      <c r="AD909" s="877"/>
      <c r="AE909" s="877"/>
      <c r="AF909" s="835"/>
    </row>
    <row r="910" spans="1:32" ht="31.5">
      <c r="A910" s="827">
        <v>879</v>
      </c>
      <c r="B910" s="828" t="s">
        <v>2675</v>
      </c>
      <c r="C910" s="828" t="s">
        <v>2683</v>
      </c>
      <c r="D910" s="829" t="s">
        <v>2684</v>
      </c>
      <c r="E910" s="830" t="s">
        <v>4794</v>
      </c>
      <c r="F910" s="830" t="s">
        <v>4794</v>
      </c>
      <c r="G910" s="830"/>
      <c r="H910" s="830" t="s">
        <v>4794</v>
      </c>
      <c r="I910" s="830" t="s">
        <v>4794</v>
      </c>
      <c r="J910" s="831">
        <v>10</v>
      </c>
      <c r="K910" s="830" t="s">
        <v>4794</v>
      </c>
      <c r="L910" s="830"/>
      <c r="M910" s="830" t="s">
        <v>4794</v>
      </c>
      <c r="N910" s="830" t="s">
        <v>4794</v>
      </c>
      <c r="O910" s="830" t="s">
        <v>4794</v>
      </c>
      <c r="P910" s="830" t="s">
        <v>4794</v>
      </c>
      <c r="Q910" s="832">
        <f t="shared" si="12"/>
        <v>10</v>
      </c>
      <c r="R910" s="833" t="s">
        <v>4025</v>
      </c>
      <c r="S910" s="859"/>
      <c r="T910" s="859"/>
      <c r="U910" s="859"/>
      <c r="V910" s="859"/>
      <c r="W910" s="859"/>
      <c r="X910" s="859"/>
      <c r="Y910" s="859"/>
      <c r="Z910" s="859"/>
      <c r="AA910" s="859"/>
      <c r="AB910" s="859"/>
      <c r="AC910" s="859"/>
      <c r="AD910" s="859"/>
      <c r="AE910" s="859"/>
      <c r="AF910" s="859"/>
    </row>
    <row r="911" spans="1:32">
      <c r="A911" s="827">
        <v>880</v>
      </c>
      <c r="B911" s="828" t="s">
        <v>2675</v>
      </c>
      <c r="C911" s="828" t="s">
        <v>2685</v>
      </c>
      <c r="D911" s="829" t="s">
        <v>2686</v>
      </c>
      <c r="E911" s="830" t="s">
        <v>4794</v>
      </c>
      <c r="F911" s="830" t="s">
        <v>4794</v>
      </c>
      <c r="G911" s="830" t="s">
        <v>4794</v>
      </c>
      <c r="H911" s="830"/>
      <c r="I911" s="830" t="s">
        <v>4794</v>
      </c>
      <c r="J911" s="831">
        <v>20</v>
      </c>
      <c r="K911" s="830" t="s">
        <v>4794</v>
      </c>
      <c r="L911" s="830"/>
      <c r="M911" s="830" t="s">
        <v>4794</v>
      </c>
      <c r="N911" s="830" t="s">
        <v>4794</v>
      </c>
      <c r="O911" s="830" t="s">
        <v>4794</v>
      </c>
      <c r="P911" s="830" t="s">
        <v>4794</v>
      </c>
      <c r="Q911" s="832">
        <f t="shared" si="12"/>
        <v>20</v>
      </c>
      <c r="R911" s="833" t="s">
        <v>4025</v>
      </c>
      <c r="S911" s="834"/>
      <c r="T911" s="861"/>
      <c r="U911" s="861"/>
      <c r="V911" s="861"/>
      <c r="W911" s="861"/>
      <c r="X911" s="861"/>
      <c r="Y911" s="861"/>
      <c r="Z911" s="861"/>
      <c r="AA911" s="861"/>
      <c r="AB911" s="861"/>
      <c r="AC911" s="861"/>
      <c r="AD911" s="861"/>
      <c r="AE911" s="861"/>
      <c r="AF911" s="835"/>
    </row>
    <row r="912" spans="1:32" ht="52.5">
      <c r="A912" s="827">
        <v>881</v>
      </c>
      <c r="B912" s="828" t="s">
        <v>2675</v>
      </c>
      <c r="C912" s="828" t="s">
        <v>2687</v>
      </c>
      <c r="D912" s="829" t="s">
        <v>2688</v>
      </c>
      <c r="E912" s="830" t="s">
        <v>4794</v>
      </c>
      <c r="F912" s="830"/>
      <c r="G912" s="830" t="s">
        <v>4794</v>
      </c>
      <c r="H912" s="830" t="s">
        <v>4794</v>
      </c>
      <c r="I912" s="830"/>
      <c r="J912" s="831">
        <v>3</v>
      </c>
      <c r="K912" s="830" t="s">
        <v>4794</v>
      </c>
      <c r="L912" s="830" t="s">
        <v>4794</v>
      </c>
      <c r="M912" s="830" t="s">
        <v>4794</v>
      </c>
      <c r="N912" s="830"/>
      <c r="O912" s="830" t="s">
        <v>4794</v>
      </c>
      <c r="P912" s="830" t="s">
        <v>4794</v>
      </c>
      <c r="Q912" s="832">
        <f t="shared" si="12"/>
        <v>3</v>
      </c>
      <c r="R912" s="833" t="s">
        <v>4025</v>
      </c>
      <c r="S912" s="834"/>
      <c r="T912" s="835"/>
      <c r="U912" s="835"/>
      <c r="V912" s="835"/>
      <c r="W912" s="835"/>
      <c r="X912" s="835"/>
      <c r="Y912" s="835"/>
      <c r="Z912" s="835"/>
      <c r="AA912" s="835"/>
      <c r="AB912" s="835"/>
      <c r="AC912" s="835"/>
      <c r="AD912" s="835"/>
      <c r="AE912" s="835"/>
      <c r="AF912" s="835"/>
    </row>
    <row r="913" spans="1:32" ht="42">
      <c r="A913" s="827">
        <v>882</v>
      </c>
      <c r="B913" s="828" t="s">
        <v>2675</v>
      </c>
      <c r="C913" s="828" t="s">
        <v>2689</v>
      </c>
      <c r="D913" s="829" t="s">
        <v>2690</v>
      </c>
      <c r="E913" s="830" t="s">
        <v>4794</v>
      </c>
      <c r="F913" s="830" t="s">
        <v>4794</v>
      </c>
      <c r="G913" s="830"/>
      <c r="H913" s="830" t="s">
        <v>4794</v>
      </c>
      <c r="I913" s="830" t="s">
        <v>4794</v>
      </c>
      <c r="J913" s="831">
        <v>4</v>
      </c>
      <c r="K913" s="830"/>
      <c r="L913" s="830" t="s">
        <v>4794</v>
      </c>
      <c r="M913" s="830" t="s">
        <v>4794</v>
      </c>
      <c r="N913" s="830" t="s">
        <v>4794</v>
      </c>
      <c r="O913" s="830" t="s">
        <v>4794</v>
      </c>
      <c r="P913" s="830" t="s">
        <v>4794</v>
      </c>
      <c r="Q913" s="832">
        <f t="shared" si="12"/>
        <v>4</v>
      </c>
      <c r="R913" s="833" t="s">
        <v>4025</v>
      </c>
      <c r="S913" s="859"/>
      <c r="T913" s="859"/>
      <c r="U913" s="859"/>
      <c r="V913" s="859"/>
      <c r="W913" s="859"/>
      <c r="X913" s="859"/>
      <c r="Y913" s="859"/>
      <c r="Z913" s="859"/>
      <c r="AA913" s="859"/>
      <c r="AB913" s="859"/>
      <c r="AC913" s="859"/>
      <c r="AD913" s="859"/>
      <c r="AE913" s="859"/>
      <c r="AF913" s="859"/>
    </row>
    <row r="914" spans="1:32" ht="42.75" thickBot="1">
      <c r="A914" s="838">
        <v>883</v>
      </c>
      <c r="B914" s="839" t="s">
        <v>2675</v>
      </c>
      <c r="C914" s="839" t="s">
        <v>2691</v>
      </c>
      <c r="D914" s="840" t="s">
        <v>2692</v>
      </c>
      <c r="E914" s="841" t="s">
        <v>4794</v>
      </c>
      <c r="F914" s="841" t="s">
        <v>4794</v>
      </c>
      <c r="G914" s="841"/>
      <c r="H914" s="841" t="s">
        <v>4794</v>
      </c>
      <c r="I914" s="841" t="s">
        <v>4794</v>
      </c>
      <c r="J914" s="842">
        <v>4</v>
      </c>
      <c r="K914" s="841" t="s">
        <v>4794</v>
      </c>
      <c r="L914" s="841" t="s">
        <v>4794</v>
      </c>
      <c r="M914" s="841" t="s">
        <v>4794</v>
      </c>
      <c r="N914" s="841"/>
      <c r="O914" s="841" t="s">
        <v>4794</v>
      </c>
      <c r="P914" s="841" t="s">
        <v>4794</v>
      </c>
      <c r="Q914" s="843">
        <f t="shared" si="12"/>
        <v>4</v>
      </c>
      <c r="R914" s="844" t="s">
        <v>4025</v>
      </c>
      <c r="S914" s="834"/>
      <c r="T914" s="850"/>
      <c r="U914" s="850"/>
      <c r="V914" s="850"/>
      <c r="W914" s="850"/>
      <c r="X914" s="850"/>
      <c r="Y914" s="850"/>
      <c r="Z914" s="850"/>
      <c r="AA914" s="850"/>
      <c r="AB914" s="850"/>
      <c r="AC914" s="850"/>
      <c r="AD914" s="850"/>
      <c r="AE914" s="850"/>
      <c r="AF914" s="835"/>
    </row>
    <row r="915" spans="1:32" ht="21.75" thickBot="1">
      <c r="A915" s="903"/>
      <c r="B915" s="901"/>
      <c r="C915" s="901"/>
      <c r="D915" s="847" t="s">
        <v>4020</v>
      </c>
      <c r="E915" s="902"/>
      <c r="F915" s="902"/>
      <c r="G915" s="902"/>
      <c r="H915" s="902"/>
      <c r="I915" s="902"/>
      <c r="J915" s="902"/>
      <c r="K915" s="902"/>
      <c r="L915" s="902"/>
      <c r="M915" s="902"/>
      <c r="N915" s="902"/>
      <c r="O915" s="902"/>
      <c r="P915" s="902"/>
      <c r="Q915" s="849">
        <f t="shared" si="12"/>
        <v>0</v>
      </c>
      <c r="R915" s="903"/>
      <c r="S915" s="834"/>
      <c r="T915" s="877"/>
      <c r="U915" s="877"/>
      <c r="V915" s="877"/>
      <c r="W915" s="877"/>
      <c r="X915" s="877"/>
      <c r="Y915" s="877"/>
      <c r="Z915" s="877"/>
      <c r="AA915" s="877"/>
      <c r="AB915" s="877"/>
      <c r="AC915" s="877"/>
      <c r="AD915" s="877"/>
      <c r="AE915" s="877"/>
      <c r="AF915" s="835"/>
    </row>
    <row r="916" spans="1:32" ht="21">
      <c r="A916" s="818">
        <v>884</v>
      </c>
      <c r="B916" s="819" t="s">
        <v>2693</v>
      </c>
      <c r="C916" s="819" t="s">
        <v>2694</v>
      </c>
      <c r="D916" s="820" t="s">
        <v>2695</v>
      </c>
      <c r="E916" s="821" t="s">
        <v>4794</v>
      </c>
      <c r="F916" s="821" t="s">
        <v>4794</v>
      </c>
      <c r="G916" s="822">
        <v>1</v>
      </c>
      <c r="H916" s="821" t="s">
        <v>4794</v>
      </c>
      <c r="I916" s="822">
        <v>1</v>
      </c>
      <c r="J916" s="821" t="s">
        <v>4794</v>
      </c>
      <c r="K916" s="821" t="s">
        <v>4794</v>
      </c>
      <c r="L916" s="821" t="s">
        <v>4794</v>
      </c>
      <c r="M916" s="821" t="s">
        <v>4794</v>
      </c>
      <c r="N916" s="821" t="s">
        <v>4794</v>
      </c>
      <c r="O916" s="821" t="s">
        <v>4794</v>
      </c>
      <c r="P916" s="821" t="s">
        <v>4794</v>
      </c>
      <c r="Q916" s="823">
        <f t="shared" ref="Q916:Q982" si="13">SUM(E916:P916)</f>
        <v>2</v>
      </c>
      <c r="R916" s="824" t="s">
        <v>4025</v>
      </c>
      <c r="S916" s="834"/>
      <c r="T916" s="850"/>
      <c r="U916" s="850"/>
      <c r="V916" s="850"/>
      <c r="W916" s="850"/>
      <c r="X916" s="850"/>
      <c r="Y916" s="850"/>
      <c r="Z916" s="850"/>
      <c r="AA916" s="850"/>
      <c r="AB916" s="850"/>
      <c r="AC916" s="850"/>
      <c r="AD916" s="850"/>
      <c r="AE916" s="850"/>
      <c r="AF916" s="835"/>
    </row>
    <row r="917" spans="1:32" ht="31.5">
      <c r="A917" s="827">
        <v>885</v>
      </c>
      <c r="B917" s="828" t="s">
        <v>2693</v>
      </c>
      <c r="C917" s="828" t="s">
        <v>2696</v>
      </c>
      <c r="D917" s="829" t="s">
        <v>2697</v>
      </c>
      <c r="E917" s="831">
        <v>2</v>
      </c>
      <c r="F917" s="831">
        <v>2</v>
      </c>
      <c r="G917" s="831">
        <v>2</v>
      </c>
      <c r="H917" s="831">
        <v>2</v>
      </c>
      <c r="I917" s="831">
        <v>2</v>
      </c>
      <c r="J917" s="831">
        <v>2</v>
      </c>
      <c r="K917" s="831">
        <v>2</v>
      </c>
      <c r="L917" s="831">
        <v>2</v>
      </c>
      <c r="M917" s="831">
        <v>2</v>
      </c>
      <c r="N917" s="831">
        <v>2</v>
      </c>
      <c r="O917" s="831">
        <v>2</v>
      </c>
      <c r="P917" s="831">
        <v>2</v>
      </c>
      <c r="Q917" s="832">
        <f t="shared" si="13"/>
        <v>24</v>
      </c>
      <c r="R917" s="833" t="s">
        <v>4025</v>
      </c>
      <c r="S917" s="834"/>
      <c r="T917" s="850"/>
      <c r="U917" s="850"/>
      <c r="V917" s="850"/>
      <c r="W917" s="850"/>
      <c r="X917" s="850"/>
      <c r="Y917" s="850"/>
      <c r="Z917" s="850"/>
      <c r="AA917" s="850"/>
      <c r="AB917" s="850"/>
      <c r="AC917" s="850"/>
      <c r="AD917" s="850"/>
      <c r="AE917" s="850"/>
      <c r="AF917" s="835"/>
    </row>
    <row r="918" spans="1:32" ht="63">
      <c r="A918" s="827">
        <v>886</v>
      </c>
      <c r="B918" s="828" t="s">
        <v>2693</v>
      </c>
      <c r="C918" s="828" t="s">
        <v>2698</v>
      </c>
      <c r="D918" s="829" t="s">
        <v>2699</v>
      </c>
      <c r="E918" s="831">
        <v>2</v>
      </c>
      <c r="F918" s="831">
        <v>2</v>
      </c>
      <c r="G918" s="831">
        <v>2</v>
      </c>
      <c r="H918" s="831">
        <v>2</v>
      </c>
      <c r="I918" s="831">
        <v>2</v>
      </c>
      <c r="J918" s="831">
        <v>2</v>
      </c>
      <c r="K918" s="831">
        <v>2</v>
      </c>
      <c r="L918" s="831">
        <v>2</v>
      </c>
      <c r="M918" s="831">
        <v>2</v>
      </c>
      <c r="N918" s="831">
        <v>2</v>
      </c>
      <c r="O918" s="831">
        <v>2</v>
      </c>
      <c r="P918" s="831">
        <v>2</v>
      </c>
      <c r="Q918" s="832">
        <f t="shared" si="13"/>
        <v>24</v>
      </c>
      <c r="R918" s="833" t="s">
        <v>4025</v>
      </c>
      <c r="S918" s="834"/>
      <c r="T918" s="850"/>
      <c r="U918" s="850"/>
      <c r="V918" s="850"/>
      <c r="W918" s="850"/>
      <c r="X918" s="850"/>
      <c r="Y918" s="850"/>
      <c r="Z918" s="850"/>
      <c r="AA918" s="850"/>
      <c r="AB918" s="850"/>
      <c r="AC918" s="850"/>
      <c r="AD918" s="850"/>
      <c r="AE918" s="850"/>
      <c r="AF918" s="835"/>
    </row>
    <row r="919" spans="1:32">
      <c r="A919" s="827">
        <v>887</v>
      </c>
      <c r="B919" s="828" t="s">
        <v>2693</v>
      </c>
      <c r="C919" s="828" t="s">
        <v>2700</v>
      </c>
      <c r="D919" s="829" t="s">
        <v>2701</v>
      </c>
      <c r="E919" s="831">
        <v>1</v>
      </c>
      <c r="F919" s="830" t="s">
        <v>4794</v>
      </c>
      <c r="G919" s="830" t="s">
        <v>4794</v>
      </c>
      <c r="H919" s="830" t="s">
        <v>4794</v>
      </c>
      <c r="I919" s="830" t="s">
        <v>4794</v>
      </c>
      <c r="J919" s="830" t="s">
        <v>4794</v>
      </c>
      <c r="K919" s="830" t="s">
        <v>4794</v>
      </c>
      <c r="L919" s="830" t="s">
        <v>4794</v>
      </c>
      <c r="M919" s="830" t="s">
        <v>4794</v>
      </c>
      <c r="N919" s="830" t="s">
        <v>4794</v>
      </c>
      <c r="O919" s="830" t="s">
        <v>4794</v>
      </c>
      <c r="P919" s="830" t="s">
        <v>4794</v>
      </c>
      <c r="Q919" s="832">
        <f t="shared" si="13"/>
        <v>1</v>
      </c>
      <c r="R919" s="833" t="s">
        <v>4025</v>
      </c>
      <c r="S919" s="834"/>
      <c r="T919" s="850"/>
      <c r="U919" s="850"/>
      <c r="V919" s="850"/>
      <c r="W919" s="850"/>
      <c r="X919" s="850"/>
      <c r="Y919" s="850"/>
      <c r="Z919" s="850"/>
      <c r="AA919" s="850"/>
      <c r="AB919" s="850"/>
      <c r="AC919" s="850"/>
      <c r="AD919" s="850"/>
      <c r="AE919" s="850"/>
      <c r="AF919" s="835"/>
    </row>
    <row r="920" spans="1:32">
      <c r="A920" s="827">
        <v>888</v>
      </c>
      <c r="B920" s="828" t="s">
        <v>2693</v>
      </c>
      <c r="C920" s="828" t="s">
        <v>2702</v>
      </c>
      <c r="D920" s="829" t="s">
        <v>2703</v>
      </c>
      <c r="E920" s="831">
        <v>10</v>
      </c>
      <c r="F920" s="831">
        <v>10</v>
      </c>
      <c r="G920" s="831">
        <v>10</v>
      </c>
      <c r="H920" s="831">
        <v>10</v>
      </c>
      <c r="I920" s="831">
        <v>10</v>
      </c>
      <c r="J920" s="831">
        <v>10</v>
      </c>
      <c r="K920" s="831">
        <v>10</v>
      </c>
      <c r="L920" s="831">
        <v>10</v>
      </c>
      <c r="M920" s="831">
        <v>10</v>
      </c>
      <c r="N920" s="831">
        <v>10</v>
      </c>
      <c r="O920" s="831">
        <v>10</v>
      </c>
      <c r="P920" s="831">
        <v>10</v>
      </c>
      <c r="Q920" s="832">
        <f t="shared" si="13"/>
        <v>120</v>
      </c>
      <c r="R920" s="833" t="s">
        <v>4025</v>
      </c>
      <c r="S920" s="834"/>
      <c r="T920" s="850"/>
      <c r="U920" s="850"/>
      <c r="V920" s="850"/>
      <c r="W920" s="850"/>
      <c r="X920" s="850"/>
      <c r="Y920" s="850"/>
      <c r="Z920" s="850"/>
      <c r="AA920" s="850"/>
      <c r="AB920" s="850"/>
      <c r="AC920" s="850"/>
      <c r="AD920" s="850"/>
      <c r="AE920" s="850"/>
      <c r="AF920" s="835"/>
    </row>
    <row r="921" spans="1:32" ht="52.5">
      <c r="A921" s="827">
        <v>889</v>
      </c>
      <c r="B921" s="828" t="s">
        <v>2693</v>
      </c>
      <c r="C921" s="828" t="s">
        <v>2704</v>
      </c>
      <c r="D921" s="829" t="s">
        <v>2705</v>
      </c>
      <c r="E921" s="830" t="s">
        <v>4794</v>
      </c>
      <c r="F921" s="831">
        <v>5</v>
      </c>
      <c r="G921" s="830" t="s">
        <v>4794</v>
      </c>
      <c r="H921" s="831">
        <v>5</v>
      </c>
      <c r="I921" s="830" t="s">
        <v>4794</v>
      </c>
      <c r="J921" s="831">
        <v>5</v>
      </c>
      <c r="K921" s="830" t="s">
        <v>4794</v>
      </c>
      <c r="L921" s="831">
        <v>5</v>
      </c>
      <c r="M921" s="830" t="s">
        <v>4794</v>
      </c>
      <c r="N921" s="830" t="s">
        <v>4794</v>
      </c>
      <c r="O921" s="830" t="s">
        <v>4794</v>
      </c>
      <c r="P921" s="830" t="s">
        <v>4794</v>
      </c>
      <c r="Q921" s="832">
        <f t="shared" si="13"/>
        <v>20</v>
      </c>
      <c r="R921" s="833" t="s">
        <v>4025</v>
      </c>
      <c r="S921" s="834"/>
      <c r="T921" s="850"/>
      <c r="U921" s="850"/>
      <c r="V921" s="850"/>
      <c r="W921" s="850"/>
      <c r="X921" s="850"/>
      <c r="Y921" s="850"/>
      <c r="Z921" s="850"/>
      <c r="AA921" s="850"/>
      <c r="AB921" s="850"/>
      <c r="AC921" s="850"/>
      <c r="AD921" s="850"/>
      <c r="AE921" s="850"/>
      <c r="AF921" s="835"/>
    </row>
    <row r="922" spans="1:32" ht="52.5">
      <c r="A922" s="827">
        <v>890</v>
      </c>
      <c r="B922" s="828" t="s">
        <v>2693</v>
      </c>
      <c r="C922" s="828" t="s">
        <v>2706</v>
      </c>
      <c r="D922" s="829" t="s">
        <v>2707</v>
      </c>
      <c r="E922" s="830" t="s">
        <v>4794</v>
      </c>
      <c r="F922" s="830" t="s">
        <v>4794</v>
      </c>
      <c r="G922" s="831">
        <v>5</v>
      </c>
      <c r="H922" s="830" t="s">
        <v>4794</v>
      </c>
      <c r="I922" s="831">
        <v>5</v>
      </c>
      <c r="J922" s="830" t="s">
        <v>4794</v>
      </c>
      <c r="K922" s="831">
        <v>5</v>
      </c>
      <c r="L922" s="830" t="s">
        <v>4794</v>
      </c>
      <c r="M922" s="831">
        <v>5</v>
      </c>
      <c r="N922" s="830" t="s">
        <v>4794</v>
      </c>
      <c r="O922" s="830" t="s">
        <v>4794</v>
      </c>
      <c r="P922" s="830" t="s">
        <v>4794</v>
      </c>
      <c r="Q922" s="832">
        <f t="shared" si="13"/>
        <v>20</v>
      </c>
      <c r="R922" s="833" t="s">
        <v>4025</v>
      </c>
      <c r="S922" s="834"/>
      <c r="T922" s="850"/>
      <c r="U922" s="850"/>
      <c r="V922" s="850"/>
      <c r="W922" s="850"/>
      <c r="X922" s="850"/>
      <c r="Y922" s="850"/>
      <c r="Z922" s="850"/>
      <c r="AA922" s="850"/>
      <c r="AB922" s="850"/>
      <c r="AC922" s="850"/>
      <c r="AD922" s="850"/>
      <c r="AE922" s="850"/>
      <c r="AF922" s="835"/>
    </row>
    <row r="923" spans="1:32" ht="52.5">
      <c r="A923" s="827">
        <v>891</v>
      </c>
      <c r="B923" s="828" t="s">
        <v>2693</v>
      </c>
      <c r="C923" s="828" t="s">
        <v>2708</v>
      </c>
      <c r="D923" s="829" t="s">
        <v>2709</v>
      </c>
      <c r="E923" s="831">
        <v>2</v>
      </c>
      <c r="F923" s="831">
        <v>2</v>
      </c>
      <c r="G923" s="831">
        <v>2</v>
      </c>
      <c r="H923" s="831">
        <v>2</v>
      </c>
      <c r="I923" s="831">
        <v>2</v>
      </c>
      <c r="J923" s="831">
        <v>2</v>
      </c>
      <c r="K923" s="831">
        <v>2</v>
      </c>
      <c r="L923" s="831">
        <v>2</v>
      </c>
      <c r="M923" s="831">
        <v>2</v>
      </c>
      <c r="N923" s="831">
        <v>2</v>
      </c>
      <c r="O923" s="831">
        <v>2</v>
      </c>
      <c r="P923" s="831">
        <v>2</v>
      </c>
      <c r="Q923" s="832">
        <f t="shared" si="13"/>
        <v>24</v>
      </c>
      <c r="R923" s="833" t="s">
        <v>4025</v>
      </c>
      <c r="S923" s="834"/>
      <c r="T923" s="850"/>
      <c r="U923" s="850"/>
      <c r="V923" s="850"/>
      <c r="W923" s="850"/>
      <c r="X923" s="850"/>
      <c r="Y923" s="850"/>
      <c r="Z923" s="850"/>
      <c r="AA923" s="850"/>
      <c r="AB923" s="850"/>
      <c r="AC923" s="850"/>
      <c r="AD923" s="850"/>
      <c r="AE923" s="850"/>
      <c r="AF923" s="835"/>
    </row>
    <row r="924" spans="1:32" ht="21">
      <c r="A924" s="827">
        <v>892</v>
      </c>
      <c r="B924" s="828" t="s">
        <v>2693</v>
      </c>
      <c r="C924" s="828" t="s">
        <v>2710</v>
      </c>
      <c r="D924" s="829" t="s">
        <v>2711</v>
      </c>
      <c r="E924" s="831">
        <v>4</v>
      </c>
      <c r="F924" s="831">
        <v>4</v>
      </c>
      <c r="G924" s="831">
        <v>4</v>
      </c>
      <c r="H924" s="831">
        <v>4</v>
      </c>
      <c r="I924" s="831">
        <v>4</v>
      </c>
      <c r="J924" s="831">
        <v>4</v>
      </c>
      <c r="K924" s="831">
        <v>4</v>
      </c>
      <c r="L924" s="831">
        <v>4</v>
      </c>
      <c r="M924" s="831">
        <v>4</v>
      </c>
      <c r="N924" s="831">
        <v>4</v>
      </c>
      <c r="O924" s="831">
        <v>4</v>
      </c>
      <c r="P924" s="831">
        <v>4</v>
      </c>
      <c r="Q924" s="832">
        <f t="shared" si="13"/>
        <v>48</v>
      </c>
      <c r="R924" s="833" t="s">
        <v>4025</v>
      </c>
      <c r="S924" s="834"/>
      <c r="T924" s="850"/>
      <c r="U924" s="850"/>
      <c r="V924" s="850"/>
      <c r="W924" s="850"/>
      <c r="X924" s="850"/>
      <c r="Y924" s="850"/>
      <c r="Z924" s="850"/>
      <c r="AA924" s="850"/>
      <c r="AB924" s="850"/>
      <c r="AC924" s="850"/>
      <c r="AD924" s="850"/>
      <c r="AE924" s="850"/>
      <c r="AF924" s="835"/>
    </row>
    <row r="925" spans="1:32">
      <c r="A925" s="827">
        <v>893</v>
      </c>
      <c r="B925" s="828" t="s">
        <v>2693</v>
      </c>
      <c r="C925" s="828" t="s">
        <v>2712</v>
      </c>
      <c r="D925" s="829" t="s">
        <v>2713</v>
      </c>
      <c r="E925" s="831">
        <v>1</v>
      </c>
      <c r="F925" s="831">
        <v>1</v>
      </c>
      <c r="G925" s="830" t="s">
        <v>4794</v>
      </c>
      <c r="H925" s="831">
        <v>1</v>
      </c>
      <c r="I925" s="830" t="s">
        <v>4794</v>
      </c>
      <c r="J925" s="831">
        <v>1</v>
      </c>
      <c r="K925" s="830" t="s">
        <v>4794</v>
      </c>
      <c r="L925" s="830" t="s">
        <v>4794</v>
      </c>
      <c r="M925" s="831">
        <v>1</v>
      </c>
      <c r="N925" s="830" t="s">
        <v>4794</v>
      </c>
      <c r="O925" s="830" t="s">
        <v>4794</v>
      </c>
      <c r="P925" s="830">
        <v>1</v>
      </c>
      <c r="Q925" s="832">
        <f t="shared" si="13"/>
        <v>6</v>
      </c>
      <c r="R925" s="833" t="s">
        <v>4025</v>
      </c>
      <c r="S925" s="834"/>
      <c r="T925" s="850"/>
      <c r="U925" s="850"/>
      <c r="V925" s="850"/>
      <c r="W925" s="850"/>
      <c r="X925" s="850"/>
      <c r="Y925" s="850"/>
      <c r="Z925" s="850"/>
      <c r="AA925" s="850"/>
      <c r="AB925" s="850"/>
      <c r="AC925" s="850"/>
      <c r="AD925" s="850"/>
      <c r="AE925" s="850"/>
      <c r="AF925" s="835"/>
    </row>
    <row r="926" spans="1:32" ht="21">
      <c r="A926" s="827">
        <v>894</v>
      </c>
      <c r="B926" s="828" t="s">
        <v>2693</v>
      </c>
      <c r="C926" s="828" t="s">
        <v>2714</v>
      </c>
      <c r="D926" s="829" t="s">
        <v>2715</v>
      </c>
      <c r="E926" s="831">
        <v>5</v>
      </c>
      <c r="F926" s="831">
        <v>5</v>
      </c>
      <c r="G926" s="831">
        <v>5</v>
      </c>
      <c r="H926" s="831">
        <v>5</v>
      </c>
      <c r="I926" s="831">
        <v>5</v>
      </c>
      <c r="J926" s="831">
        <v>5</v>
      </c>
      <c r="K926" s="831">
        <v>5</v>
      </c>
      <c r="L926" s="831">
        <v>5</v>
      </c>
      <c r="M926" s="831">
        <v>5</v>
      </c>
      <c r="N926" s="831">
        <v>5</v>
      </c>
      <c r="O926" s="831">
        <v>5</v>
      </c>
      <c r="P926" s="831">
        <v>5</v>
      </c>
      <c r="Q926" s="832">
        <f t="shared" si="13"/>
        <v>60</v>
      </c>
      <c r="R926" s="833" t="s">
        <v>4025</v>
      </c>
      <c r="S926" s="834"/>
      <c r="T926" s="850"/>
      <c r="U926" s="850"/>
      <c r="V926" s="850"/>
      <c r="W926" s="850"/>
      <c r="X926" s="850"/>
      <c r="Y926" s="850"/>
      <c r="Z926" s="850"/>
      <c r="AA926" s="850"/>
      <c r="AB926" s="850"/>
      <c r="AC926" s="850"/>
      <c r="AD926" s="850"/>
      <c r="AE926" s="850"/>
      <c r="AF926" s="835"/>
    </row>
    <row r="927" spans="1:32" ht="21">
      <c r="A927" s="827">
        <v>895</v>
      </c>
      <c r="B927" s="828" t="s">
        <v>2693</v>
      </c>
      <c r="C927" s="828" t="s">
        <v>2716</v>
      </c>
      <c r="D927" s="829" t="s">
        <v>2717</v>
      </c>
      <c r="E927" s="831">
        <v>3</v>
      </c>
      <c r="F927" s="831">
        <v>3</v>
      </c>
      <c r="G927" s="831">
        <v>3</v>
      </c>
      <c r="H927" s="831">
        <v>3</v>
      </c>
      <c r="I927" s="831">
        <v>3</v>
      </c>
      <c r="J927" s="831">
        <v>3</v>
      </c>
      <c r="K927" s="831">
        <v>3</v>
      </c>
      <c r="L927" s="831">
        <v>3</v>
      </c>
      <c r="M927" s="831">
        <v>3</v>
      </c>
      <c r="N927" s="831">
        <v>3</v>
      </c>
      <c r="O927" s="831">
        <v>3</v>
      </c>
      <c r="P927" s="831">
        <v>3</v>
      </c>
      <c r="Q927" s="832">
        <f t="shared" si="13"/>
        <v>36</v>
      </c>
      <c r="R927" s="833" t="s">
        <v>4025</v>
      </c>
      <c r="S927" s="834"/>
      <c r="T927" s="850"/>
      <c r="U927" s="850"/>
      <c r="V927" s="850"/>
      <c r="W927" s="850"/>
      <c r="X927" s="850"/>
      <c r="Y927" s="850"/>
      <c r="Z927" s="850"/>
      <c r="AA927" s="850"/>
      <c r="AB927" s="850"/>
      <c r="AC927" s="850"/>
      <c r="AD927" s="850"/>
      <c r="AE927" s="850"/>
      <c r="AF927" s="835"/>
    </row>
    <row r="928" spans="1:32" ht="31.5">
      <c r="A928" s="827">
        <v>896</v>
      </c>
      <c r="B928" s="828" t="s">
        <v>2693</v>
      </c>
      <c r="C928" s="828" t="s">
        <v>2718</v>
      </c>
      <c r="D928" s="829" t="s">
        <v>2719</v>
      </c>
      <c r="E928" s="831">
        <v>2</v>
      </c>
      <c r="F928" s="831">
        <v>2</v>
      </c>
      <c r="G928" s="831">
        <v>2</v>
      </c>
      <c r="H928" s="831">
        <v>2</v>
      </c>
      <c r="I928" s="831">
        <v>2</v>
      </c>
      <c r="J928" s="831">
        <v>2</v>
      </c>
      <c r="K928" s="831">
        <v>2</v>
      </c>
      <c r="L928" s="831">
        <v>2</v>
      </c>
      <c r="M928" s="831">
        <v>2</v>
      </c>
      <c r="N928" s="831">
        <v>2</v>
      </c>
      <c r="O928" s="831">
        <v>2</v>
      </c>
      <c r="P928" s="831">
        <v>2</v>
      </c>
      <c r="Q928" s="832">
        <f t="shared" si="13"/>
        <v>24</v>
      </c>
      <c r="R928" s="833" t="s">
        <v>4025</v>
      </c>
      <c r="S928" s="834"/>
      <c r="T928" s="850"/>
      <c r="U928" s="850"/>
      <c r="V928" s="850"/>
      <c r="W928" s="850"/>
      <c r="X928" s="850"/>
      <c r="Y928" s="850"/>
      <c r="Z928" s="850"/>
      <c r="AA928" s="850"/>
      <c r="AB928" s="850"/>
      <c r="AC928" s="850"/>
      <c r="AD928" s="850"/>
      <c r="AE928" s="850"/>
      <c r="AF928" s="835"/>
    </row>
    <row r="929" spans="1:32" ht="31.5">
      <c r="A929" s="827">
        <v>897</v>
      </c>
      <c r="B929" s="828" t="s">
        <v>2693</v>
      </c>
      <c r="C929" s="828" t="s">
        <v>2720</v>
      </c>
      <c r="D929" s="829" t="s">
        <v>2721</v>
      </c>
      <c r="E929" s="830" t="s">
        <v>4794</v>
      </c>
      <c r="F929" s="831">
        <v>1</v>
      </c>
      <c r="G929" s="830" t="s">
        <v>4794</v>
      </c>
      <c r="H929" s="831">
        <v>1</v>
      </c>
      <c r="I929" s="830" t="s">
        <v>4794</v>
      </c>
      <c r="J929" s="830" t="s">
        <v>4794</v>
      </c>
      <c r="K929" s="831">
        <v>1</v>
      </c>
      <c r="L929" s="830" t="s">
        <v>4794</v>
      </c>
      <c r="M929" s="830" t="s">
        <v>4794</v>
      </c>
      <c r="N929" s="831">
        <v>1</v>
      </c>
      <c r="O929" s="830" t="s">
        <v>4794</v>
      </c>
      <c r="P929" s="830" t="s">
        <v>4794</v>
      </c>
      <c r="Q929" s="832">
        <f t="shared" si="13"/>
        <v>4</v>
      </c>
      <c r="R929" s="833" t="s">
        <v>4025</v>
      </c>
      <c r="S929" s="834"/>
      <c r="T929" s="850"/>
      <c r="U929" s="850"/>
      <c r="V929" s="850"/>
      <c r="W929" s="850"/>
      <c r="X929" s="850"/>
      <c r="Y929" s="850"/>
      <c r="Z929" s="850"/>
      <c r="AA929" s="850"/>
      <c r="AB929" s="850"/>
      <c r="AC929" s="850"/>
      <c r="AD929" s="850"/>
      <c r="AE929" s="850"/>
      <c r="AF929" s="835"/>
    </row>
    <row r="930" spans="1:32">
      <c r="A930" s="827">
        <v>898</v>
      </c>
      <c r="B930" s="828" t="s">
        <v>2693</v>
      </c>
      <c r="C930" s="828" t="s">
        <v>2722</v>
      </c>
      <c r="D930" s="829" t="s">
        <v>2723</v>
      </c>
      <c r="E930" s="831">
        <v>2</v>
      </c>
      <c r="F930" s="831">
        <v>2</v>
      </c>
      <c r="G930" s="831">
        <v>2</v>
      </c>
      <c r="H930" s="831">
        <v>2</v>
      </c>
      <c r="I930" s="831">
        <v>2</v>
      </c>
      <c r="J930" s="831">
        <v>2</v>
      </c>
      <c r="K930" s="831">
        <v>2</v>
      </c>
      <c r="L930" s="831">
        <v>2</v>
      </c>
      <c r="M930" s="831">
        <v>2</v>
      </c>
      <c r="N930" s="831">
        <v>2</v>
      </c>
      <c r="O930" s="831">
        <v>2</v>
      </c>
      <c r="P930" s="831">
        <v>2</v>
      </c>
      <c r="Q930" s="832">
        <f t="shared" si="13"/>
        <v>24</v>
      </c>
      <c r="R930" s="833" t="s">
        <v>4025</v>
      </c>
      <c r="S930" s="834"/>
      <c r="T930" s="865"/>
      <c r="U930" s="865"/>
      <c r="V930" s="865"/>
      <c r="W930" s="865"/>
      <c r="X930" s="865"/>
      <c r="Y930" s="865"/>
      <c r="Z930" s="865"/>
      <c r="AA930" s="865"/>
      <c r="AB930" s="865"/>
      <c r="AC930" s="865"/>
      <c r="AD930" s="865"/>
      <c r="AE930" s="865"/>
      <c r="AF930" s="835"/>
    </row>
    <row r="931" spans="1:32" ht="31.5">
      <c r="A931" s="827">
        <v>899</v>
      </c>
      <c r="B931" s="828" t="s">
        <v>2693</v>
      </c>
      <c r="C931" s="828" t="s">
        <v>2724</v>
      </c>
      <c r="D931" s="829" t="s">
        <v>2725</v>
      </c>
      <c r="E931" s="830" t="s">
        <v>4794</v>
      </c>
      <c r="F931" s="830" t="s">
        <v>4794</v>
      </c>
      <c r="G931" s="830" t="s">
        <v>4794</v>
      </c>
      <c r="H931" s="830" t="s">
        <v>4794</v>
      </c>
      <c r="I931" s="830" t="s">
        <v>4794</v>
      </c>
      <c r="J931" s="831">
        <v>1</v>
      </c>
      <c r="K931" s="830" t="s">
        <v>4794</v>
      </c>
      <c r="L931" s="830" t="s">
        <v>4794</v>
      </c>
      <c r="M931" s="830" t="s">
        <v>4794</v>
      </c>
      <c r="N931" s="830" t="s">
        <v>4794</v>
      </c>
      <c r="O931" s="830" t="s">
        <v>4794</v>
      </c>
      <c r="P931" s="831">
        <v>1</v>
      </c>
      <c r="Q931" s="832">
        <f t="shared" si="13"/>
        <v>2</v>
      </c>
      <c r="R931" s="833" t="s">
        <v>4025</v>
      </c>
      <c r="S931" s="834"/>
      <c r="T931" s="865"/>
      <c r="U931" s="865"/>
      <c r="V931" s="865"/>
      <c r="W931" s="865"/>
      <c r="X931" s="865"/>
      <c r="Y931" s="865"/>
      <c r="Z931" s="865"/>
      <c r="AA931" s="865"/>
      <c r="AB931" s="865"/>
      <c r="AC931" s="865"/>
      <c r="AD931" s="865"/>
      <c r="AE931" s="865"/>
      <c r="AF931" s="835"/>
    </row>
    <row r="932" spans="1:32" ht="15.75">
      <c r="A932" s="827">
        <v>900</v>
      </c>
      <c r="B932" s="828" t="s">
        <v>2693</v>
      </c>
      <c r="C932" s="828" t="s">
        <v>2726</v>
      </c>
      <c r="D932" s="829" t="s">
        <v>2727</v>
      </c>
      <c r="E932" s="831">
        <v>1</v>
      </c>
      <c r="F932" s="831">
        <v>1</v>
      </c>
      <c r="G932" s="831">
        <v>1</v>
      </c>
      <c r="H932" s="831">
        <v>1</v>
      </c>
      <c r="I932" s="831">
        <v>1</v>
      </c>
      <c r="J932" s="831">
        <v>1</v>
      </c>
      <c r="K932" s="831">
        <v>1</v>
      </c>
      <c r="L932" s="831">
        <v>1</v>
      </c>
      <c r="M932" s="831">
        <v>1</v>
      </c>
      <c r="N932" s="831">
        <v>1</v>
      </c>
      <c r="O932" s="831">
        <v>1</v>
      </c>
      <c r="P932" s="831">
        <v>1</v>
      </c>
      <c r="Q932" s="832">
        <f t="shared" si="13"/>
        <v>12</v>
      </c>
      <c r="R932" s="833" t="s">
        <v>4025</v>
      </c>
      <c r="S932" s="836"/>
      <c r="T932" s="893"/>
      <c r="U932" s="155"/>
      <c r="V932" s="853"/>
      <c r="W932" s="155"/>
      <c r="X932" s="155"/>
      <c r="Y932" s="155"/>
      <c r="Z932" s="155"/>
      <c r="AA932" s="155"/>
      <c r="AB932" s="155"/>
      <c r="AC932" s="155"/>
      <c r="AD932" s="155"/>
      <c r="AE932" s="155"/>
      <c r="AF932" s="835"/>
    </row>
    <row r="933" spans="1:32" ht="21">
      <c r="A933" s="827">
        <v>901</v>
      </c>
      <c r="B933" s="828" t="s">
        <v>2693</v>
      </c>
      <c r="C933" s="828" t="s">
        <v>2728</v>
      </c>
      <c r="D933" s="829" t="s">
        <v>2729</v>
      </c>
      <c r="E933" s="831">
        <v>3</v>
      </c>
      <c r="F933" s="830" t="s">
        <v>4794</v>
      </c>
      <c r="G933" s="830" t="s">
        <v>4794</v>
      </c>
      <c r="H933" s="831">
        <v>3</v>
      </c>
      <c r="I933" s="830" t="s">
        <v>4794</v>
      </c>
      <c r="J933" s="831">
        <v>3</v>
      </c>
      <c r="K933" s="830" t="s">
        <v>4794</v>
      </c>
      <c r="L933" s="830" t="s">
        <v>4794</v>
      </c>
      <c r="M933" s="831">
        <v>3</v>
      </c>
      <c r="N933" s="830" t="s">
        <v>4794</v>
      </c>
      <c r="O933" s="830" t="s">
        <v>4794</v>
      </c>
      <c r="P933" s="830" t="s">
        <v>4794</v>
      </c>
      <c r="Q933" s="832">
        <f t="shared" si="13"/>
        <v>12</v>
      </c>
      <c r="R933" s="833" t="s">
        <v>4025</v>
      </c>
      <c r="S933" s="834"/>
      <c r="T933" s="850"/>
      <c r="U933" s="850"/>
      <c r="V933" s="850"/>
      <c r="W933" s="850"/>
      <c r="X933" s="850"/>
      <c r="Y933" s="850"/>
      <c r="Z933" s="850"/>
      <c r="AA933" s="850"/>
      <c r="AB933" s="850"/>
      <c r="AC933" s="850"/>
      <c r="AD933" s="850"/>
      <c r="AE933" s="850"/>
      <c r="AF933" s="835"/>
    </row>
    <row r="934" spans="1:32" ht="42">
      <c r="A934" s="827">
        <v>902</v>
      </c>
      <c r="B934" s="828" t="s">
        <v>2693</v>
      </c>
      <c r="C934" s="828" t="s">
        <v>2730</v>
      </c>
      <c r="D934" s="829" t="s">
        <v>2731</v>
      </c>
      <c r="E934" s="831">
        <v>1</v>
      </c>
      <c r="F934" s="831">
        <v>1</v>
      </c>
      <c r="G934" s="831">
        <v>1</v>
      </c>
      <c r="H934" s="831">
        <v>1</v>
      </c>
      <c r="I934" s="831">
        <v>1</v>
      </c>
      <c r="J934" s="831">
        <v>1</v>
      </c>
      <c r="K934" s="831">
        <v>1</v>
      </c>
      <c r="L934" s="831">
        <v>1</v>
      </c>
      <c r="M934" s="831">
        <v>1</v>
      </c>
      <c r="N934" s="831">
        <v>1</v>
      </c>
      <c r="O934" s="831">
        <v>1</v>
      </c>
      <c r="P934" s="831">
        <v>1</v>
      </c>
      <c r="Q934" s="832">
        <f t="shared" si="13"/>
        <v>12</v>
      </c>
      <c r="R934" s="833" t="s">
        <v>4025</v>
      </c>
      <c r="S934" s="834"/>
      <c r="T934" s="850"/>
      <c r="U934" s="850"/>
      <c r="V934" s="850"/>
      <c r="W934" s="850"/>
      <c r="X934" s="850"/>
      <c r="Y934" s="850"/>
      <c r="Z934" s="850"/>
      <c r="AA934" s="850"/>
      <c r="AB934" s="850"/>
      <c r="AC934" s="850"/>
      <c r="AD934" s="850"/>
      <c r="AE934" s="850"/>
      <c r="AF934" s="835"/>
    </row>
    <row r="935" spans="1:32" ht="42">
      <c r="A935" s="827">
        <v>903</v>
      </c>
      <c r="B935" s="828" t="s">
        <v>2693</v>
      </c>
      <c r="C935" s="828" t="s">
        <v>2732</v>
      </c>
      <c r="D935" s="829" t="s">
        <v>2733</v>
      </c>
      <c r="E935" s="830" t="s">
        <v>4794</v>
      </c>
      <c r="F935" s="830" t="s">
        <v>4794</v>
      </c>
      <c r="G935" s="831">
        <v>1</v>
      </c>
      <c r="H935" s="830" t="s">
        <v>4794</v>
      </c>
      <c r="I935" s="831">
        <v>1</v>
      </c>
      <c r="J935" s="830" t="s">
        <v>4794</v>
      </c>
      <c r="K935" s="830" t="s">
        <v>4794</v>
      </c>
      <c r="L935" s="831">
        <v>1</v>
      </c>
      <c r="M935" s="830" t="s">
        <v>4794</v>
      </c>
      <c r="N935" s="831">
        <v>1</v>
      </c>
      <c r="O935" s="830" t="s">
        <v>4794</v>
      </c>
      <c r="P935" s="830" t="s">
        <v>4794</v>
      </c>
      <c r="Q935" s="832">
        <f t="shared" si="13"/>
        <v>4</v>
      </c>
      <c r="R935" s="833" t="s">
        <v>4025</v>
      </c>
      <c r="S935" s="834"/>
      <c r="T935" s="850"/>
      <c r="U935" s="850"/>
      <c r="V935" s="850"/>
      <c r="W935" s="850"/>
      <c r="X935" s="850"/>
      <c r="Y935" s="850"/>
      <c r="Z935" s="850"/>
      <c r="AA935" s="850"/>
      <c r="AB935" s="850"/>
      <c r="AC935" s="850"/>
      <c r="AD935" s="850"/>
      <c r="AE935" s="850"/>
      <c r="AF935" s="835"/>
    </row>
    <row r="936" spans="1:32" ht="42">
      <c r="A936" s="827">
        <v>904</v>
      </c>
      <c r="B936" s="828" t="s">
        <v>2693</v>
      </c>
      <c r="C936" s="828" t="s">
        <v>2734</v>
      </c>
      <c r="D936" s="829" t="s">
        <v>781</v>
      </c>
      <c r="E936" s="831">
        <v>2</v>
      </c>
      <c r="F936" s="831">
        <v>1</v>
      </c>
      <c r="G936" s="831">
        <v>2</v>
      </c>
      <c r="H936" s="831">
        <v>1</v>
      </c>
      <c r="I936" s="831">
        <v>2</v>
      </c>
      <c r="J936" s="831">
        <v>1</v>
      </c>
      <c r="K936" s="831">
        <v>2</v>
      </c>
      <c r="L936" s="831">
        <v>1</v>
      </c>
      <c r="M936" s="831">
        <v>2</v>
      </c>
      <c r="N936" s="831">
        <v>1</v>
      </c>
      <c r="O936" s="831">
        <v>2</v>
      </c>
      <c r="P936" s="831">
        <v>1</v>
      </c>
      <c r="Q936" s="832">
        <f t="shared" si="13"/>
        <v>18</v>
      </c>
      <c r="R936" s="833" t="s">
        <v>4025</v>
      </c>
      <c r="S936" s="836"/>
      <c r="T936" s="893"/>
      <c r="U936" s="155"/>
      <c r="V936" s="155"/>
      <c r="W936" s="155"/>
      <c r="X936" s="155"/>
      <c r="Y936" s="155"/>
      <c r="Z936" s="155"/>
      <c r="AA936" s="155"/>
      <c r="AB936" s="155"/>
      <c r="AC936" s="155"/>
      <c r="AD936" s="155"/>
      <c r="AE936" s="155"/>
      <c r="AF936" s="835"/>
    </row>
    <row r="937" spans="1:32" ht="42">
      <c r="A937" s="827">
        <v>905</v>
      </c>
      <c r="B937" s="828" t="s">
        <v>2693</v>
      </c>
      <c r="C937" s="828" t="s">
        <v>782</v>
      </c>
      <c r="D937" s="829" t="s">
        <v>783</v>
      </c>
      <c r="E937" s="830" t="s">
        <v>4794</v>
      </c>
      <c r="F937" s="830" t="s">
        <v>4794</v>
      </c>
      <c r="G937" s="830" t="s">
        <v>4794</v>
      </c>
      <c r="H937" s="831">
        <v>1</v>
      </c>
      <c r="I937" s="831">
        <v>1</v>
      </c>
      <c r="J937" s="831">
        <v>1</v>
      </c>
      <c r="K937" s="831">
        <v>1</v>
      </c>
      <c r="L937" s="831">
        <v>1</v>
      </c>
      <c r="M937" s="831">
        <v>1</v>
      </c>
      <c r="N937" s="830" t="s">
        <v>4794</v>
      </c>
      <c r="O937" s="830" t="s">
        <v>4794</v>
      </c>
      <c r="P937" s="830" t="s">
        <v>4794</v>
      </c>
      <c r="Q937" s="832">
        <f t="shared" si="13"/>
        <v>6</v>
      </c>
      <c r="R937" s="833" t="s">
        <v>1560</v>
      </c>
      <c r="S937" s="836"/>
      <c r="T937" s="893"/>
      <c r="U937" s="155"/>
      <c r="V937" s="155"/>
      <c r="W937" s="155"/>
      <c r="X937" s="155"/>
      <c r="Y937" s="853"/>
      <c r="Z937" s="155"/>
      <c r="AA937" s="155"/>
      <c r="AB937" s="155"/>
      <c r="AC937" s="155"/>
      <c r="AD937" s="155"/>
      <c r="AE937" s="155"/>
      <c r="AF937" s="835"/>
    </row>
    <row r="938" spans="1:32" ht="31.5">
      <c r="A938" s="827">
        <v>906</v>
      </c>
      <c r="B938" s="828" t="s">
        <v>2693</v>
      </c>
      <c r="C938" s="828" t="s">
        <v>784</v>
      </c>
      <c r="D938" s="829" t="s">
        <v>785</v>
      </c>
      <c r="E938" s="830" t="s">
        <v>4794</v>
      </c>
      <c r="F938" s="830" t="s">
        <v>4794</v>
      </c>
      <c r="G938" s="830" t="s">
        <v>4794</v>
      </c>
      <c r="H938" s="831">
        <v>1</v>
      </c>
      <c r="I938" s="830" t="s">
        <v>4794</v>
      </c>
      <c r="J938" s="831">
        <v>1</v>
      </c>
      <c r="K938" s="830" t="s">
        <v>4794</v>
      </c>
      <c r="L938" s="831">
        <v>1</v>
      </c>
      <c r="M938" s="830" t="s">
        <v>4794</v>
      </c>
      <c r="N938" s="830" t="s">
        <v>4794</v>
      </c>
      <c r="O938" s="830" t="s">
        <v>4794</v>
      </c>
      <c r="P938" s="830" t="s">
        <v>4794</v>
      </c>
      <c r="Q938" s="832">
        <f t="shared" si="13"/>
        <v>3</v>
      </c>
      <c r="R938" s="833" t="s">
        <v>4025</v>
      </c>
      <c r="S938" s="834"/>
      <c r="T938" s="850"/>
      <c r="U938" s="850"/>
      <c r="V938" s="850"/>
      <c r="W938" s="850"/>
      <c r="X938" s="850"/>
      <c r="Y938" s="850"/>
      <c r="Z938" s="850"/>
      <c r="AA938" s="850"/>
      <c r="AB938" s="850"/>
      <c r="AC938" s="850"/>
      <c r="AD938" s="850"/>
      <c r="AE938" s="850"/>
      <c r="AF938" s="835"/>
    </row>
    <row r="939" spans="1:32" ht="31.5">
      <c r="A939" s="827">
        <v>907</v>
      </c>
      <c r="B939" s="828" t="s">
        <v>2693</v>
      </c>
      <c r="C939" s="828" t="s">
        <v>786</v>
      </c>
      <c r="D939" s="829" t="s">
        <v>787</v>
      </c>
      <c r="E939" s="830" t="s">
        <v>4794</v>
      </c>
      <c r="F939" s="831">
        <v>1</v>
      </c>
      <c r="G939" s="831">
        <v>1</v>
      </c>
      <c r="H939" s="831">
        <v>1</v>
      </c>
      <c r="I939" s="830" t="s">
        <v>4794</v>
      </c>
      <c r="J939" s="830" t="s">
        <v>4794</v>
      </c>
      <c r="K939" s="831">
        <v>1</v>
      </c>
      <c r="L939" s="831">
        <v>1</v>
      </c>
      <c r="M939" s="830" t="s">
        <v>4794</v>
      </c>
      <c r="N939" s="830" t="s">
        <v>4794</v>
      </c>
      <c r="O939" s="831">
        <v>1</v>
      </c>
      <c r="P939" s="830" t="s">
        <v>4794</v>
      </c>
      <c r="Q939" s="832">
        <f t="shared" si="13"/>
        <v>6</v>
      </c>
      <c r="R939" s="833" t="s">
        <v>4025</v>
      </c>
      <c r="S939" s="836"/>
      <c r="T939" s="851"/>
      <c r="U939" s="850"/>
      <c r="V939" s="850"/>
      <c r="W939" s="850"/>
      <c r="X939" s="850"/>
      <c r="Y939" s="850"/>
      <c r="Z939" s="850"/>
      <c r="AA939" s="850"/>
      <c r="AB939" s="850"/>
      <c r="AC939" s="850"/>
      <c r="AD939" s="850"/>
      <c r="AE939" s="850"/>
      <c r="AF939" s="835"/>
    </row>
    <row r="940" spans="1:32">
      <c r="A940" s="827">
        <v>908</v>
      </c>
      <c r="B940" s="828" t="s">
        <v>2693</v>
      </c>
      <c r="C940" s="828" t="s">
        <v>4678</v>
      </c>
      <c r="D940" s="829" t="s">
        <v>4679</v>
      </c>
      <c r="E940" s="830" t="s">
        <v>4794</v>
      </c>
      <c r="F940" s="831">
        <v>2</v>
      </c>
      <c r="G940" s="830" t="s">
        <v>4794</v>
      </c>
      <c r="H940" s="830" t="s">
        <v>4794</v>
      </c>
      <c r="I940" s="830" t="s">
        <v>4794</v>
      </c>
      <c r="J940" s="830" t="s">
        <v>4794</v>
      </c>
      <c r="K940" s="831">
        <v>2</v>
      </c>
      <c r="L940" s="830" t="s">
        <v>4794</v>
      </c>
      <c r="M940" s="830" t="s">
        <v>4794</v>
      </c>
      <c r="N940" s="830" t="s">
        <v>4794</v>
      </c>
      <c r="O940" s="830" t="s">
        <v>4794</v>
      </c>
      <c r="P940" s="831">
        <v>2</v>
      </c>
      <c r="Q940" s="832">
        <f t="shared" si="13"/>
        <v>6</v>
      </c>
      <c r="R940" s="833" t="s">
        <v>4025</v>
      </c>
      <c r="S940" s="834"/>
      <c r="T940" s="850"/>
      <c r="U940" s="850"/>
      <c r="V940" s="850"/>
      <c r="W940" s="850"/>
      <c r="X940" s="850"/>
      <c r="Y940" s="850"/>
      <c r="Z940" s="850"/>
      <c r="AA940" s="850"/>
      <c r="AB940" s="850"/>
      <c r="AC940" s="850"/>
      <c r="AD940" s="850"/>
      <c r="AE940" s="850"/>
      <c r="AF940" s="835"/>
    </row>
    <row r="941" spans="1:32" ht="21">
      <c r="A941" s="827">
        <v>909</v>
      </c>
      <c r="B941" s="828" t="s">
        <v>2693</v>
      </c>
      <c r="C941" s="828" t="s">
        <v>4680</v>
      </c>
      <c r="D941" s="829" t="s">
        <v>4681</v>
      </c>
      <c r="E941" s="830" t="s">
        <v>4794</v>
      </c>
      <c r="F941" s="830" t="s">
        <v>4794</v>
      </c>
      <c r="G941" s="831">
        <v>3</v>
      </c>
      <c r="H941" s="830" t="s">
        <v>4794</v>
      </c>
      <c r="I941" s="831">
        <v>3</v>
      </c>
      <c r="J941" s="830" t="s">
        <v>4794</v>
      </c>
      <c r="K941" s="831">
        <v>3</v>
      </c>
      <c r="L941" s="830" t="s">
        <v>4794</v>
      </c>
      <c r="M941" s="831">
        <v>3</v>
      </c>
      <c r="N941" s="830" t="s">
        <v>4794</v>
      </c>
      <c r="O941" s="831">
        <v>3</v>
      </c>
      <c r="P941" s="830" t="s">
        <v>4794</v>
      </c>
      <c r="Q941" s="832">
        <f t="shared" si="13"/>
        <v>15</v>
      </c>
      <c r="R941" s="833" t="s">
        <v>4025</v>
      </c>
      <c r="S941" s="834"/>
      <c r="T941" s="850"/>
      <c r="U941" s="850"/>
      <c r="V941" s="850"/>
      <c r="W941" s="850"/>
      <c r="X941" s="850"/>
      <c r="Y941" s="850"/>
      <c r="Z941" s="850"/>
      <c r="AA941" s="850"/>
      <c r="AB941" s="850"/>
      <c r="AC941" s="850"/>
      <c r="AD941" s="850"/>
      <c r="AE941" s="850"/>
      <c r="AF941" s="835"/>
    </row>
    <row r="942" spans="1:32" ht="31.5">
      <c r="A942" s="827">
        <v>910</v>
      </c>
      <c r="B942" s="828" t="s">
        <v>2693</v>
      </c>
      <c r="C942" s="828" t="s">
        <v>4682</v>
      </c>
      <c r="D942" s="829" t="s">
        <v>4683</v>
      </c>
      <c r="E942" s="830" t="s">
        <v>4794</v>
      </c>
      <c r="F942" s="831">
        <v>5</v>
      </c>
      <c r="G942" s="830" t="s">
        <v>4794</v>
      </c>
      <c r="H942" s="830" t="s">
        <v>4794</v>
      </c>
      <c r="I942" s="831">
        <v>5</v>
      </c>
      <c r="J942" s="830" t="s">
        <v>4794</v>
      </c>
      <c r="K942" s="830" t="s">
        <v>4794</v>
      </c>
      <c r="L942" s="831">
        <v>5</v>
      </c>
      <c r="M942" s="830" t="s">
        <v>4794</v>
      </c>
      <c r="N942" s="831">
        <v>5</v>
      </c>
      <c r="O942" s="830" t="s">
        <v>4794</v>
      </c>
      <c r="P942" s="830" t="s">
        <v>4794</v>
      </c>
      <c r="Q942" s="832">
        <f t="shared" si="13"/>
        <v>20</v>
      </c>
      <c r="R942" s="833" t="s">
        <v>4025</v>
      </c>
      <c r="S942" s="834"/>
      <c r="T942" s="850"/>
      <c r="U942" s="850"/>
      <c r="V942" s="850"/>
      <c r="W942" s="850"/>
      <c r="X942" s="850"/>
      <c r="Y942" s="850"/>
      <c r="Z942" s="850"/>
      <c r="AA942" s="850"/>
      <c r="AB942" s="850"/>
      <c r="AC942" s="850"/>
      <c r="AD942" s="850"/>
      <c r="AE942" s="850"/>
      <c r="AF942" s="835"/>
    </row>
    <row r="943" spans="1:32" ht="31.5">
      <c r="A943" s="827">
        <v>911</v>
      </c>
      <c r="B943" s="828" t="s">
        <v>2693</v>
      </c>
      <c r="C943" s="828" t="s">
        <v>4684</v>
      </c>
      <c r="D943" s="829" t="s">
        <v>4685</v>
      </c>
      <c r="E943" s="830" t="s">
        <v>4794</v>
      </c>
      <c r="F943" s="831">
        <v>2</v>
      </c>
      <c r="G943" s="831">
        <v>1</v>
      </c>
      <c r="H943" s="830" t="s">
        <v>4794</v>
      </c>
      <c r="I943" s="831">
        <v>2</v>
      </c>
      <c r="J943" s="831">
        <v>1</v>
      </c>
      <c r="K943" s="830" t="s">
        <v>4794</v>
      </c>
      <c r="L943" s="830" t="s">
        <v>4794</v>
      </c>
      <c r="M943" s="830" t="s">
        <v>4794</v>
      </c>
      <c r="N943" s="830" t="s">
        <v>4794</v>
      </c>
      <c r="O943" s="830" t="s">
        <v>4794</v>
      </c>
      <c r="P943" s="830" t="s">
        <v>4794</v>
      </c>
      <c r="Q943" s="832">
        <f t="shared" si="13"/>
        <v>6</v>
      </c>
      <c r="R943" s="833" t="s">
        <v>4025</v>
      </c>
      <c r="S943" s="834"/>
      <c r="T943" s="850"/>
      <c r="U943" s="850"/>
      <c r="V943" s="850"/>
      <c r="W943" s="850"/>
      <c r="X943" s="850"/>
      <c r="Y943" s="850"/>
      <c r="Z943" s="850"/>
      <c r="AA943" s="850"/>
      <c r="AB943" s="850"/>
      <c r="AC943" s="850"/>
      <c r="AD943" s="850"/>
      <c r="AE943" s="850"/>
      <c r="AF943" s="835"/>
    </row>
    <row r="944" spans="1:32" ht="31.5">
      <c r="A944" s="827">
        <v>912</v>
      </c>
      <c r="B944" s="828" t="s">
        <v>2693</v>
      </c>
      <c r="C944" s="828" t="s">
        <v>4686</v>
      </c>
      <c r="D944" s="829" t="s">
        <v>4687</v>
      </c>
      <c r="E944" s="831">
        <v>2</v>
      </c>
      <c r="F944" s="831">
        <v>2</v>
      </c>
      <c r="G944" s="831">
        <v>2</v>
      </c>
      <c r="H944" s="831">
        <v>2</v>
      </c>
      <c r="I944" s="831">
        <v>2</v>
      </c>
      <c r="J944" s="831">
        <v>2</v>
      </c>
      <c r="K944" s="831">
        <v>2</v>
      </c>
      <c r="L944" s="831">
        <v>2</v>
      </c>
      <c r="M944" s="831">
        <v>2</v>
      </c>
      <c r="N944" s="831">
        <v>2</v>
      </c>
      <c r="O944" s="831">
        <v>2</v>
      </c>
      <c r="P944" s="831">
        <v>2</v>
      </c>
      <c r="Q944" s="832">
        <f t="shared" si="13"/>
        <v>24</v>
      </c>
      <c r="R944" s="833" t="s">
        <v>4025</v>
      </c>
      <c r="S944" s="834"/>
      <c r="T944" s="850"/>
      <c r="U944" s="850"/>
      <c r="V944" s="850"/>
      <c r="W944" s="850"/>
      <c r="X944" s="850"/>
      <c r="Y944" s="850"/>
      <c r="Z944" s="850"/>
      <c r="AA944" s="850"/>
      <c r="AB944" s="850"/>
      <c r="AC944" s="850"/>
      <c r="AD944" s="850"/>
      <c r="AE944" s="850"/>
      <c r="AF944" s="835"/>
    </row>
    <row r="945" spans="1:32" ht="31.5">
      <c r="A945" s="827">
        <v>913</v>
      </c>
      <c r="B945" s="828" t="s">
        <v>2693</v>
      </c>
      <c r="C945" s="828" t="s">
        <v>4688</v>
      </c>
      <c r="D945" s="829" t="s">
        <v>4689</v>
      </c>
      <c r="E945" s="831">
        <v>3</v>
      </c>
      <c r="F945" s="831">
        <v>3</v>
      </c>
      <c r="G945" s="831">
        <v>3</v>
      </c>
      <c r="H945" s="831">
        <v>3</v>
      </c>
      <c r="I945" s="831">
        <v>3</v>
      </c>
      <c r="J945" s="831">
        <v>3</v>
      </c>
      <c r="K945" s="831">
        <v>3</v>
      </c>
      <c r="L945" s="831">
        <v>3</v>
      </c>
      <c r="M945" s="831">
        <v>3</v>
      </c>
      <c r="N945" s="831">
        <v>3</v>
      </c>
      <c r="O945" s="831">
        <v>3</v>
      </c>
      <c r="P945" s="831">
        <v>3</v>
      </c>
      <c r="Q945" s="832">
        <f t="shared" si="13"/>
        <v>36</v>
      </c>
      <c r="R945" s="833" t="s">
        <v>4025</v>
      </c>
      <c r="S945" s="834"/>
      <c r="T945" s="877"/>
      <c r="U945" s="877"/>
      <c r="V945" s="877"/>
      <c r="W945" s="877"/>
      <c r="X945" s="877"/>
      <c r="Y945" s="877"/>
      <c r="Z945" s="877"/>
      <c r="AA945" s="877"/>
      <c r="AB945" s="877"/>
      <c r="AC945" s="877"/>
      <c r="AD945" s="877"/>
      <c r="AE945" s="877"/>
      <c r="AF945" s="835"/>
    </row>
    <row r="946" spans="1:32" ht="42">
      <c r="A946" s="827">
        <v>914</v>
      </c>
      <c r="B946" s="828" t="s">
        <v>2693</v>
      </c>
      <c r="C946" s="828" t="s">
        <v>2751</v>
      </c>
      <c r="D946" s="829" t="s">
        <v>2752</v>
      </c>
      <c r="E946" s="831">
        <v>10</v>
      </c>
      <c r="F946" s="831">
        <v>10</v>
      </c>
      <c r="G946" s="831">
        <v>10</v>
      </c>
      <c r="H946" s="831">
        <v>10</v>
      </c>
      <c r="I946" s="831">
        <v>10</v>
      </c>
      <c r="J946" s="831">
        <v>10</v>
      </c>
      <c r="K946" s="831">
        <v>10</v>
      </c>
      <c r="L946" s="831">
        <v>10</v>
      </c>
      <c r="M946" s="831">
        <v>10</v>
      </c>
      <c r="N946" s="831">
        <v>10</v>
      </c>
      <c r="O946" s="831">
        <v>10</v>
      </c>
      <c r="P946" s="831">
        <v>10</v>
      </c>
      <c r="Q946" s="832">
        <f t="shared" si="13"/>
        <v>120</v>
      </c>
      <c r="R946" s="833" t="s">
        <v>4025</v>
      </c>
      <c r="S946" s="834"/>
      <c r="T946" s="850"/>
      <c r="U946" s="850"/>
      <c r="V946" s="850"/>
      <c r="W946" s="850"/>
      <c r="X946" s="850"/>
      <c r="Y946" s="850"/>
      <c r="Z946" s="850"/>
      <c r="AA946" s="850"/>
      <c r="AB946" s="850"/>
      <c r="AC946" s="850"/>
      <c r="AD946" s="850"/>
      <c r="AE946" s="850"/>
      <c r="AF946" s="835"/>
    </row>
    <row r="947" spans="1:32" ht="52.5">
      <c r="A947" s="827">
        <v>915</v>
      </c>
      <c r="B947" s="828" t="s">
        <v>2693</v>
      </c>
      <c r="C947" s="828" t="s">
        <v>2753</v>
      </c>
      <c r="D947" s="829" t="s">
        <v>2754</v>
      </c>
      <c r="E947" s="831">
        <v>10</v>
      </c>
      <c r="F947" s="831">
        <v>10</v>
      </c>
      <c r="G947" s="831">
        <v>10</v>
      </c>
      <c r="H947" s="831">
        <v>10</v>
      </c>
      <c r="I947" s="831">
        <v>10</v>
      </c>
      <c r="J947" s="831">
        <v>10</v>
      </c>
      <c r="K947" s="831">
        <v>10</v>
      </c>
      <c r="L947" s="831">
        <v>10</v>
      </c>
      <c r="M947" s="831">
        <v>10</v>
      </c>
      <c r="N947" s="831">
        <v>10</v>
      </c>
      <c r="O947" s="831">
        <v>10</v>
      </c>
      <c r="P947" s="831">
        <v>10</v>
      </c>
      <c r="Q947" s="832">
        <f t="shared" si="13"/>
        <v>120</v>
      </c>
      <c r="R947" s="833" t="s">
        <v>4025</v>
      </c>
      <c r="S947" s="834"/>
      <c r="T947" s="850"/>
      <c r="U947" s="850"/>
      <c r="V947" s="850"/>
      <c r="W947" s="850"/>
      <c r="X947" s="850"/>
      <c r="Y947" s="850"/>
      <c r="Z947" s="850"/>
      <c r="AA947" s="850"/>
      <c r="AB947" s="850"/>
      <c r="AC947" s="850"/>
      <c r="AD947" s="850"/>
      <c r="AE947" s="850"/>
      <c r="AF947" s="835"/>
    </row>
    <row r="948" spans="1:32" ht="52.5">
      <c r="A948" s="827">
        <v>916</v>
      </c>
      <c r="B948" s="828" t="s">
        <v>2693</v>
      </c>
      <c r="C948" s="828" t="s">
        <v>2755</v>
      </c>
      <c r="D948" s="829" t="s">
        <v>2756</v>
      </c>
      <c r="E948" s="831">
        <v>5</v>
      </c>
      <c r="F948" s="830" t="s">
        <v>4794</v>
      </c>
      <c r="G948" s="831">
        <v>5</v>
      </c>
      <c r="H948" s="830" t="s">
        <v>4794</v>
      </c>
      <c r="I948" s="831">
        <v>5</v>
      </c>
      <c r="J948" s="830" t="s">
        <v>4794</v>
      </c>
      <c r="K948" s="831">
        <v>5</v>
      </c>
      <c r="L948" s="830" t="s">
        <v>4794</v>
      </c>
      <c r="M948" s="831">
        <v>5</v>
      </c>
      <c r="N948" s="830" t="s">
        <v>4794</v>
      </c>
      <c r="O948" s="831">
        <v>5</v>
      </c>
      <c r="P948" s="830" t="s">
        <v>4794</v>
      </c>
      <c r="Q948" s="832">
        <f t="shared" si="13"/>
        <v>30</v>
      </c>
      <c r="R948" s="833" t="s">
        <v>4025</v>
      </c>
      <c r="S948" s="834"/>
      <c r="T948" s="877"/>
      <c r="U948" s="877"/>
      <c r="V948" s="877"/>
      <c r="W948" s="877"/>
      <c r="X948" s="877"/>
      <c r="Y948" s="877"/>
      <c r="Z948" s="877"/>
      <c r="AA948" s="877"/>
      <c r="AB948" s="877"/>
      <c r="AC948" s="877"/>
      <c r="AD948" s="877"/>
      <c r="AE948" s="877"/>
      <c r="AF948" s="835"/>
    </row>
    <row r="949" spans="1:32" ht="21">
      <c r="A949" s="827">
        <v>917</v>
      </c>
      <c r="B949" s="828" t="s">
        <v>2693</v>
      </c>
      <c r="C949" s="828" t="s">
        <v>2757</v>
      </c>
      <c r="D949" s="829" t="s">
        <v>2758</v>
      </c>
      <c r="E949" s="830" t="s">
        <v>4794</v>
      </c>
      <c r="F949" s="831">
        <v>5</v>
      </c>
      <c r="G949" s="830" t="s">
        <v>4794</v>
      </c>
      <c r="H949" s="831">
        <v>5</v>
      </c>
      <c r="I949" s="830" t="s">
        <v>4794</v>
      </c>
      <c r="J949" s="831">
        <v>5</v>
      </c>
      <c r="K949" s="830" t="s">
        <v>4794</v>
      </c>
      <c r="L949" s="831">
        <v>5</v>
      </c>
      <c r="M949" s="830" t="s">
        <v>4794</v>
      </c>
      <c r="N949" s="831">
        <v>5</v>
      </c>
      <c r="O949" s="830" t="s">
        <v>4794</v>
      </c>
      <c r="P949" s="831">
        <v>5</v>
      </c>
      <c r="Q949" s="832">
        <f t="shared" si="13"/>
        <v>30</v>
      </c>
      <c r="R949" s="833" t="s">
        <v>4025</v>
      </c>
      <c r="S949" s="834"/>
      <c r="T949" s="877"/>
      <c r="U949" s="877"/>
      <c r="V949" s="877"/>
      <c r="W949" s="877"/>
      <c r="X949" s="877"/>
      <c r="Y949" s="877"/>
      <c r="Z949" s="877"/>
      <c r="AA949" s="877"/>
      <c r="AB949" s="877"/>
      <c r="AC949" s="877"/>
      <c r="AD949" s="877"/>
      <c r="AE949" s="877"/>
      <c r="AF949" s="835"/>
    </row>
    <row r="950" spans="1:32" ht="42">
      <c r="A950" s="827">
        <v>918</v>
      </c>
      <c r="B950" s="828" t="s">
        <v>2693</v>
      </c>
      <c r="C950" s="828" t="s">
        <v>2759</v>
      </c>
      <c r="D950" s="829" t="s">
        <v>2760</v>
      </c>
      <c r="E950" s="830" t="s">
        <v>4794</v>
      </c>
      <c r="F950" s="831">
        <v>2</v>
      </c>
      <c r="G950" s="830" t="s">
        <v>4794</v>
      </c>
      <c r="H950" s="831">
        <v>2</v>
      </c>
      <c r="I950" s="830" t="s">
        <v>4794</v>
      </c>
      <c r="J950" s="831">
        <v>2</v>
      </c>
      <c r="K950" s="830" t="s">
        <v>4794</v>
      </c>
      <c r="L950" s="831">
        <v>2</v>
      </c>
      <c r="M950" s="830" t="s">
        <v>4794</v>
      </c>
      <c r="N950" s="831">
        <v>2</v>
      </c>
      <c r="O950" s="830" t="s">
        <v>4794</v>
      </c>
      <c r="P950" s="830" t="s">
        <v>4794</v>
      </c>
      <c r="Q950" s="832">
        <f t="shared" si="13"/>
        <v>10</v>
      </c>
      <c r="R950" s="833" t="s">
        <v>4025</v>
      </c>
      <c r="S950" s="834"/>
      <c r="T950" s="877"/>
      <c r="U950" s="877"/>
      <c r="V950" s="877"/>
      <c r="W950" s="877"/>
      <c r="X950" s="877"/>
      <c r="Y950" s="877"/>
      <c r="Z950" s="877"/>
      <c r="AA950" s="877"/>
      <c r="AB950" s="877"/>
      <c r="AC950" s="877"/>
      <c r="AD950" s="877"/>
      <c r="AE950" s="877"/>
      <c r="AF950" s="835"/>
    </row>
    <row r="951" spans="1:32" ht="42">
      <c r="A951" s="827">
        <v>919</v>
      </c>
      <c r="B951" s="828" t="s">
        <v>2693</v>
      </c>
      <c r="C951" s="828" t="s">
        <v>2761</v>
      </c>
      <c r="D951" s="829" t="s">
        <v>2762</v>
      </c>
      <c r="E951" s="830" t="s">
        <v>4794</v>
      </c>
      <c r="F951" s="831">
        <v>5</v>
      </c>
      <c r="G951" s="830" t="s">
        <v>4794</v>
      </c>
      <c r="H951" s="831">
        <v>5</v>
      </c>
      <c r="I951" s="830" t="s">
        <v>4794</v>
      </c>
      <c r="J951" s="831">
        <v>5</v>
      </c>
      <c r="K951" s="830" t="s">
        <v>4794</v>
      </c>
      <c r="L951" s="831">
        <v>5</v>
      </c>
      <c r="M951" s="831">
        <v>5</v>
      </c>
      <c r="N951" s="831">
        <v>5</v>
      </c>
      <c r="O951" s="830" t="s">
        <v>4794</v>
      </c>
      <c r="P951" s="830" t="s">
        <v>4794</v>
      </c>
      <c r="Q951" s="832">
        <f t="shared" si="13"/>
        <v>30</v>
      </c>
      <c r="R951" s="833" t="s">
        <v>4025</v>
      </c>
      <c r="S951" s="836"/>
      <c r="T951" s="851"/>
      <c r="U951" s="850"/>
      <c r="V951" s="850"/>
      <c r="W951" s="850"/>
      <c r="X951" s="850"/>
      <c r="Y951" s="850"/>
      <c r="Z951" s="850"/>
      <c r="AA951" s="850"/>
      <c r="AB951" s="850"/>
      <c r="AC951" s="850"/>
      <c r="AD951" s="850"/>
      <c r="AE951" s="850"/>
      <c r="AF951" s="835"/>
    </row>
    <row r="952" spans="1:32" ht="31.5">
      <c r="A952" s="827">
        <v>920</v>
      </c>
      <c r="B952" s="828" t="s">
        <v>2693</v>
      </c>
      <c r="C952" s="828" t="s">
        <v>2763</v>
      </c>
      <c r="D952" s="829" t="s">
        <v>2764</v>
      </c>
      <c r="E952" s="831">
        <v>10</v>
      </c>
      <c r="F952" s="831">
        <v>10</v>
      </c>
      <c r="G952" s="831">
        <v>10</v>
      </c>
      <c r="H952" s="831">
        <v>10</v>
      </c>
      <c r="I952" s="831">
        <v>10</v>
      </c>
      <c r="J952" s="831">
        <v>10</v>
      </c>
      <c r="K952" s="831">
        <v>10</v>
      </c>
      <c r="L952" s="831">
        <v>10</v>
      </c>
      <c r="M952" s="831">
        <v>10</v>
      </c>
      <c r="N952" s="831">
        <v>10</v>
      </c>
      <c r="O952" s="831">
        <v>10</v>
      </c>
      <c r="P952" s="831">
        <v>10</v>
      </c>
      <c r="Q952" s="832">
        <f t="shared" si="13"/>
        <v>120</v>
      </c>
      <c r="R952" s="833" t="s">
        <v>4025</v>
      </c>
      <c r="S952" s="834"/>
      <c r="T952" s="850"/>
      <c r="U952" s="850"/>
      <c r="V952" s="850"/>
      <c r="W952" s="850"/>
      <c r="X952" s="850"/>
      <c r="Y952" s="850"/>
      <c r="Z952" s="850"/>
      <c r="AA952" s="850"/>
      <c r="AB952" s="850"/>
      <c r="AC952" s="850"/>
      <c r="AD952" s="850"/>
      <c r="AE952" s="850"/>
      <c r="AF952" s="835"/>
    </row>
    <row r="953" spans="1:32" ht="31.5">
      <c r="A953" s="827">
        <v>921</v>
      </c>
      <c r="B953" s="828" t="s">
        <v>2693</v>
      </c>
      <c r="C953" s="828" t="s">
        <v>1770</v>
      </c>
      <c r="D953" s="829" t="s">
        <v>1771</v>
      </c>
      <c r="E953" s="831">
        <v>5</v>
      </c>
      <c r="F953" s="831">
        <v>5</v>
      </c>
      <c r="G953" s="831">
        <v>5</v>
      </c>
      <c r="H953" s="831">
        <v>5</v>
      </c>
      <c r="I953" s="831">
        <v>5</v>
      </c>
      <c r="J953" s="831">
        <v>5</v>
      </c>
      <c r="K953" s="831">
        <v>5</v>
      </c>
      <c r="L953" s="831">
        <v>5</v>
      </c>
      <c r="M953" s="831">
        <v>5</v>
      </c>
      <c r="N953" s="831">
        <v>5</v>
      </c>
      <c r="O953" s="831">
        <v>5</v>
      </c>
      <c r="P953" s="831">
        <v>5</v>
      </c>
      <c r="Q953" s="832">
        <f t="shared" si="13"/>
        <v>60</v>
      </c>
      <c r="R953" s="833" t="s">
        <v>4025</v>
      </c>
      <c r="S953" s="834"/>
      <c r="T953" s="850"/>
      <c r="U953" s="850"/>
      <c r="V953" s="850"/>
      <c r="W953" s="850"/>
      <c r="X953" s="850"/>
      <c r="Y953" s="850"/>
      <c r="Z953" s="850"/>
      <c r="AA953" s="850"/>
      <c r="AB953" s="850"/>
      <c r="AC953" s="850"/>
      <c r="AD953" s="850"/>
      <c r="AE953" s="850"/>
      <c r="AF953" s="835"/>
    </row>
    <row r="954" spans="1:32" ht="31.5">
      <c r="A954" s="827">
        <v>922</v>
      </c>
      <c r="B954" s="828" t="s">
        <v>2693</v>
      </c>
      <c r="C954" s="828" t="s">
        <v>1772</v>
      </c>
      <c r="D954" s="829" t="s">
        <v>1773</v>
      </c>
      <c r="E954" s="831">
        <v>5</v>
      </c>
      <c r="F954" s="831">
        <v>5</v>
      </c>
      <c r="G954" s="831">
        <v>5</v>
      </c>
      <c r="H954" s="831">
        <v>5</v>
      </c>
      <c r="I954" s="831">
        <v>5</v>
      </c>
      <c r="J954" s="831">
        <v>5</v>
      </c>
      <c r="K954" s="831">
        <v>5</v>
      </c>
      <c r="L954" s="831">
        <v>5</v>
      </c>
      <c r="M954" s="831">
        <v>5</v>
      </c>
      <c r="N954" s="831">
        <v>5</v>
      </c>
      <c r="O954" s="831">
        <v>5</v>
      </c>
      <c r="P954" s="831">
        <v>5</v>
      </c>
      <c r="Q954" s="832">
        <f t="shared" si="13"/>
        <v>60</v>
      </c>
      <c r="R954" s="833" t="s">
        <v>4025</v>
      </c>
      <c r="S954" s="834"/>
      <c r="T954" s="850"/>
      <c r="U954" s="850"/>
      <c r="V954" s="850"/>
      <c r="W954" s="850"/>
      <c r="X954" s="850"/>
      <c r="Y954" s="850"/>
      <c r="Z954" s="850"/>
      <c r="AA954" s="850"/>
      <c r="AB954" s="850"/>
      <c r="AC954" s="850"/>
      <c r="AD954" s="850"/>
      <c r="AE954" s="850"/>
      <c r="AF954" s="835"/>
    </row>
    <row r="955" spans="1:32" ht="31.5">
      <c r="A955" s="827">
        <v>923</v>
      </c>
      <c r="B955" s="828" t="s">
        <v>2693</v>
      </c>
      <c r="C955" s="828" t="s">
        <v>434</v>
      </c>
      <c r="D955" s="829" t="s">
        <v>435</v>
      </c>
      <c r="E955" s="831">
        <v>5</v>
      </c>
      <c r="F955" s="831">
        <v>5</v>
      </c>
      <c r="G955" s="831">
        <v>5</v>
      </c>
      <c r="H955" s="831">
        <v>5</v>
      </c>
      <c r="I955" s="831">
        <v>5</v>
      </c>
      <c r="J955" s="831">
        <v>5</v>
      </c>
      <c r="K955" s="831">
        <v>5</v>
      </c>
      <c r="L955" s="831">
        <v>5</v>
      </c>
      <c r="M955" s="831">
        <v>5</v>
      </c>
      <c r="N955" s="831">
        <v>5</v>
      </c>
      <c r="O955" s="831">
        <v>5</v>
      </c>
      <c r="P955" s="831">
        <v>5</v>
      </c>
      <c r="Q955" s="832">
        <f t="shared" si="13"/>
        <v>60</v>
      </c>
      <c r="R955" s="833" t="s">
        <v>4025</v>
      </c>
      <c r="S955" s="834"/>
      <c r="T955" s="850"/>
      <c r="U955" s="850"/>
      <c r="V955" s="850"/>
      <c r="W955" s="850"/>
      <c r="X955" s="850"/>
      <c r="Y955" s="850"/>
      <c r="Z955" s="850"/>
      <c r="AA955" s="850"/>
      <c r="AB955" s="850"/>
      <c r="AC955" s="850"/>
      <c r="AD955" s="850"/>
      <c r="AE955" s="850"/>
      <c r="AF955" s="835"/>
    </row>
    <row r="956" spans="1:32" ht="31.5">
      <c r="A956" s="827">
        <v>924</v>
      </c>
      <c r="B956" s="828" t="s">
        <v>2693</v>
      </c>
      <c r="C956" s="828" t="s">
        <v>436</v>
      </c>
      <c r="D956" s="829" t="s">
        <v>437</v>
      </c>
      <c r="E956" s="831">
        <v>2</v>
      </c>
      <c r="F956" s="831">
        <v>2</v>
      </c>
      <c r="G956" s="831">
        <v>2</v>
      </c>
      <c r="H956" s="831">
        <v>2</v>
      </c>
      <c r="I956" s="831">
        <v>2</v>
      </c>
      <c r="J956" s="831">
        <v>3</v>
      </c>
      <c r="K956" s="831">
        <v>2</v>
      </c>
      <c r="L956" s="831">
        <v>2</v>
      </c>
      <c r="M956" s="831">
        <v>2</v>
      </c>
      <c r="N956" s="831">
        <v>2</v>
      </c>
      <c r="O956" s="831">
        <v>2</v>
      </c>
      <c r="P956" s="831">
        <v>2</v>
      </c>
      <c r="Q956" s="832">
        <f t="shared" si="13"/>
        <v>25</v>
      </c>
      <c r="R956" s="833" t="s">
        <v>4025</v>
      </c>
      <c r="S956" s="834"/>
      <c r="T956" s="850"/>
      <c r="U956" s="850"/>
      <c r="V956" s="850"/>
      <c r="W956" s="850"/>
      <c r="X956" s="850"/>
      <c r="Y956" s="850"/>
      <c r="Z956" s="850"/>
      <c r="AA956" s="850"/>
      <c r="AB956" s="850"/>
      <c r="AC956" s="850"/>
      <c r="AD956" s="850"/>
      <c r="AE956" s="850"/>
      <c r="AF956" s="835"/>
    </row>
    <row r="957" spans="1:32" ht="31.5">
      <c r="A957" s="827">
        <v>925</v>
      </c>
      <c r="B957" s="828" t="s">
        <v>2693</v>
      </c>
      <c r="C957" s="828" t="s">
        <v>438</v>
      </c>
      <c r="D957" s="829" t="s">
        <v>439</v>
      </c>
      <c r="E957" s="831">
        <v>2</v>
      </c>
      <c r="F957" s="831">
        <v>2</v>
      </c>
      <c r="G957" s="831">
        <v>2</v>
      </c>
      <c r="H957" s="831">
        <v>2</v>
      </c>
      <c r="I957" s="831">
        <v>2</v>
      </c>
      <c r="J957" s="831">
        <v>2</v>
      </c>
      <c r="K957" s="831">
        <v>2</v>
      </c>
      <c r="L957" s="831">
        <v>2</v>
      </c>
      <c r="M957" s="831">
        <v>2</v>
      </c>
      <c r="N957" s="831">
        <v>2</v>
      </c>
      <c r="O957" s="831">
        <v>2</v>
      </c>
      <c r="P957" s="831">
        <v>2</v>
      </c>
      <c r="Q957" s="832">
        <f t="shared" si="13"/>
        <v>24</v>
      </c>
      <c r="R957" s="833" t="s">
        <v>4025</v>
      </c>
      <c r="S957" s="834"/>
      <c r="T957" s="865"/>
      <c r="U957" s="865"/>
      <c r="V957" s="865"/>
      <c r="W957" s="865"/>
      <c r="X957" s="865"/>
      <c r="Y957" s="865"/>
      <c r="Z957" s="865"/>
      <c r="AA957" s="865"/>
      <c r="AB957" s="865"/>
      <c r="AC957" s="865"/>
      <c r="AD957" s="865"/>
      <c r="AE957" s="865"/>
      <c r="AF957" s="835"/>
    </row>
    <row r="958" spans="1:32" ht="31.5">
      <c r="A958" s="827">
        <v>926</v>
      </c>
      <c r="B958" s="828" t="s">
        <v>2693</v>
      </c>
      <c r="C958" s="828" t="s">
        <v>440</v>
      </c>
      <c r="D958" s="829" t="s">
        <v>441</v>
      </c>
      <c r="E958" s="831">
        <v>1</v>
      </c>
      <c r="F958" s="831">
        <v>1</v>
      </c>
      <c r="G958" s="831">
        <v>1</v>
      </c>
      <c r="H958" s="831">
        <v>1</v>
      </c>
      <c r="I958" s="831">
        <v>1</v>
      </c>
      <c r="J958" s="831">
        <v>1</v>
      </c>
      <c r="K958" s="831">
        <v>1</v>
      </c>
      <c r="L958" s="831">
        <v>1</v>
      </c>
      <c r="M958" s="831">
        <v>1</v>
      </c>
      <c r="N958" s="831">
        <v>1</v>
      </c>
      <c r="O958" s="831">
        <v>1</v>
      </c>
      <c r="P958" s="831">
        <v>1</v>
      </c>
      <c r="Q958" s="832">
        <f t="shared" si="13"/>
        <v>12</v>
      </c>
      <c r="R958" s="833" t="s">
        <v>4025</v>
      </c>
      <c r="S958" s="834"/>
      <c r="T958" s="850"/>
      <c r="U958" s="850"/>
      <c r="V958" s="850"/>
      <c r="W958" s="850"/>
      <c r="X958" s="850"/>
      <c r="Y958" s="850"/>
      <c r="Z958" s="850"/>
      <c r="AA958" s="850"/>
      <c r="AB958" s="850"/>
      <c r="AC958" s="850"/>
      <c r="AD958" s="850"/>
      <c r="AE958" s="850"/>
      <c r="AF958" s="835"/>
    </row>
    <row r="959" spans="1:32" ht="31.5">
      <c r="A959" s="827">
        <v>927</v>
      </c>
      <c r="B959" s="828" t="s">
        <v>2693</v>
      </c>
      <c r="C959" s="828" t="s">
        <v>442</v>
      </c>
      <c r="D959" s="829" t="s">
        <v>443</v>
      </c>
      <c r="E959" s="831">
        <v>2</v>
      </c>
      <c r="F959" s="831">
        <v>2</v>
      </c>
      <c r="G959" s="831">
        <v>2</v>
      </c>
      <c r="H959" s="831">
        <v>2</v>
      </c>
      <c r="I959" s="831">
        <v>2</v>
      </c>
      <c r="J959" s="831" t="s">
        <v>4794</v>
      </c>
      <c r="K959" s="831" t="s">
        <v>4794</v>
      </c>
      <c r="L959" s="831">
        <v>2</v>
      </c>
      <c r="M959" s="831">
        <v>2</v>
      </c>
      <c r="N959" s="831">
        <v>2</v>
      </c>
      <c r="O959" s="831">
        <v>2</v>
      </c>
      <c r="P959" s="831">
        <v>2</v>
      </c>
      <c r="Q959" s="832">
        <f t="shared" si="13"/>
        <v>20</v>
      </c>
      <c r="R959" s="833" t="s">
        <v>4025</v>
      </c>
      <c r="S959" s="834"/>
      <c r="T959" s="850"/>
      <c r="U959" s="850"/>
      <c r="V959" s="850"/>
      <c r="W959" s="850"/>
      <c r="X959" s="850"/>
      <c r="Y959" s="850"/>
      <c r="Z959" s="850"/>
      <c r="AA959" s="850"/>
      <c r="AB959" s="850"/>
      <c r="AC959" s="850"/>
      <c r="AD959" s="850"/>
      <c r="AE959" s="850"/>
      <c r="AF959" s="835"/>
    </row>
    <row r="960" spans="1:32" ht="31.5">
      <c r="A960" s="827">
        <v>928</v>
      </c>
      <c r="B960" s="828" t="s">
        <v>2693</v>
      </c>
      <c r="C960" s="828" t="s">
        <v>444</v>
      </c>
      <c r="D960" s="829" t="s">
        <v>445</v>
      </c>
      <c r="E960" s="831">
        <v>3</v>
      </c>
      <c r="F960" s="831">
        <v>3</v>
      </c>
      <c r="G960" s="831">
        <v>3</v>
      </c>
      <c r="H960" s="831">
        <v>3</v>
      </c>
      <c r="I960" s="831">
        <v>3</v>
      </c>
      <c r="J960" s="831">
        <v>3</v>
      </c>
      <c r="K960" s="831">
        <v>3</v>
      </c>
      <c r="L960" s="831">
        <v>3</v>
      </c>
      <c r="M960" s="831">
        <v>3</v>
      </c>
      <c r="N960" s="831">
        <v>3</v>
      </c>
      <c r="O960" s="831">
        <v>3</v>
      </c>
      <c r="P960" s="831">
        <v>3</v>
      </c>
      <c r="Q960" s="832">
        <f t="shared" si="13"/>
        <v>36</v>
      </c>
      <c r="R960" s="833" t="s">
        <v>4025</v>
      </c>
      <c r="S960" s="834"/>
      <c r="T960" s="850"/>
      <c r="U960" s="850"/>
      <c r="V960" s="850"/>
      <c r="W960" s="850"/>
      <c r="X960" s="850"/>
      <c r="Y960" s="850"/>
      <c r="Z960" s="850"/>
      <c r="AA960" s="850"/>
      <c r="AB960" s="850"/>
      <c r="AC960" s="850"/>
      <c r="AD960" s="850"/>
      <c r="AE960" s="850"/>
      <c r="AF960" s="835"/>
    </row>
    <row r="961" spans="1:32" ht="31.5">
      <c r="A961" s="827">
        <v>929</v>
      </c>
      <c r="B961" s="828" t="s">
        <v>2693</v>
      </c>
      <c r="C961" s="828" t="s">
        <v>446</v>
      </c>
      <c r="D961" s="829" t="s">
        <v>447</v>
      </c>
      <c r="E961" s="831">
        <v>2</v>
      </c>
      <c r="F961" s="831">
        <v>2</v>
      </c>
      <c r="G961" s="831">
        <v>2</v>
      </c>
      <c r="H961" s="831">
        <v>2</v>
      </c>
      <c r="I961" s="831">
        <v>2</v>
      </c>
      <c r="J961" s="831">
        <v>2</v>
      </c>
      <c r="K961" s="831">
        <v>2</v>
      </c>
      <c r="L961" s="831">
        <v>2</v>
      </c>
      <c r="M961" s="831">
        <v>2</v>
      </c>
      <c r="N961" s="831">
        <v>2</v>
      </c>
      <c r="O961" s="831">
        <v>2</v>
      </c>
      <c r="P961" s="831">
        <v>2</v>
      </c>
      <c r="Q961" s="832">
        <f t="shared" si="13"/>
        <v>24</v>
      </c>
      <c r="R961" s="833" t="s">
        <v>4025</v>
      </c>
      <c r="S961" s="836"/>
      <c r="T961" s="893"/>
      <c r="U961" s="155"/>
      <c r="V961" s="155"/>
      <c r="W961" s="155"/>
      <c r="X961" s="155"/>
      <c r="Y961" s="155"/>
      <c r="Z961" s="155"/>
      <c r="AA961" s="155"/>
      <c r="AB961" s="155"/>
      <c r="AC961" s="155"/>
      <c r="AD961" s="155"/>
      <c r="AE961" s="155"/>
      <c r="AF961" s="835"/>
    </row>
    <row r="962" spans="1:32" ht="31.5">
      <c r="A962" s="827">
        <v>930</v>
      </c>
      <c r="B962" s="828" t="s">
        <v>2693</v>
      </c>
      <c r="C962" s="828" t="s">
        <v>448</v>
      </c>
      <c r="D962" s="829" t="s">
        <v>449</v>
      </c>
      <c r="E962" s="830" t="s">
        <v>4794</v>
      </c>
      <c r="F962" s="831">
        <v>1</v>
      </c>
      <c r="G962" s="831">
        <v>1</v>
      </c>
      <c r="H962" s="831">
        <v>1</v>
      </c>
      <c r="I962" s="831">
        <v>1</v>
      </c>
      <c r="J962" s="831">
        <v>1</v>
      </c>
      <c r="K962" s="831">
        <v>1</v>
      </c>
      <c r="L962" s="831">
        <v>1</v>
      </c>
      <c r="M962" s="831">
        <v>1</v>
      </c>
      <c r="N962" s="830" t="s">
        <v>4794</v>
      </c>
      <c r="O962" s="830" t="s">
        <v>4794</v>
      </c>
      <c r="P962" s="830" t="s">
        <v>4794</v>
      </c>
      <c r="Q962" s="832">
        <f t="shared" si="13"/>
        <v>8</v>
      </c>
      <c r="R962" s="833" t="s">
        <v>4025</v>
      </c>
      <c r="S962" s="834"/>
      <c r="T962" s="877"/>
      <c r="U962" s="877"/>
      <c r="V962" s="877"/>
      <c r="W962" s="877"/>
      <c r="X962" s="877"/>
      <c r="Y962" s="877"/>
      <c r="Z962" s="877"/>
      <c r="AA962" s="877"/>
      <c r="AB962" s="877"/>
      <c r="AC962" s="877"/>
      <c r="AD962" s="877"/>
      <c r="AE962" s="877"/>
      <c r="AF962" s="835"/>
    </row>
    <row r="963" spans="1:32" ht="21">
      <c r="A963" s="827">
        <v>931</v>
      </c>
      <c r="B963" s="828" t="s">
        <v>2693</v>
      </c>
      <c r="C963" s="828" t="s">
        <v>450</v>
      </c>
      <c r="D963" s="829" t="s">
        <v>451</v>
      </c>
      <c r="E963" s="830" t="s">
        <v>4794</v>
      </c>
      <c r="F963" s="830" t="s">
        <v>4794</v>
      </c>
      <c r="G963" s="830" t="s">
        <v>4794</v>
      </c>
      <c r="H963" s="831">
        <v>2</v>
      </c>
      <c r="I963" s="830" t="s">
        <v>4794</v>
      </c>
      <c r="J963" s="831">
        <v>2</v>
      </c>
      <c r="K963" s="830" t="s">
        <v>4794</v>
      </c>
      <c r="L963" s="830" t="s">
        <v>4794</v>
      </c>
      <c r="M963" s="830" t="s">
        <v>4794</v>
      </c>
      <c r="N963" s="831">
        <v>2</v>
      </c>
      <c r="O963" s="830" t="s">
        <v>4794</v>
      </c>
      <c r="P963" s="830" t="s">
        <v>4794</v>
      </c>
      <c r="Q963" s="832">
        <f t="shared" si="13"/>
        <v>6</v>
      </c>
      <c r="R963" s="833" t="s">
        <v>4025</v>
      </c>
      <c r="S963" s="834"/>
      <c r="T963" s="877"/>
      <c r="U963" s="877"/>
      <c r="V963" s="877"/>
      <c r="W963" s="877"/>
      <c r="X963" s="877"/>
      <c r="Y963" s="877"/>
      <c r="Z963" s="877"/>
      <c r="AA963" s="877"/>
      <c r="AB963" s="877"/>
      <c r="AC963" s="877"/>
      <c r="AD963" s="877"/>
      <c r="AE963" s="877"/>
      <c r="AF963" s="835"/>
    </row>
    <row r="964" spans="1:32" ht="21">
      <c r="A964" s="827">
        <v>932</v>
      </c>
      <c r="B964" s="828" t="s">
        <v>2693</v>
      </c>
      <c r="C964" s="828" t="s">
        <v>452</v>
      </c>
      <c r="D964" s="829" t="s">
        <v>453</v>
      </c>
      <c r="E964" s="830" t="s">
        <v>4794</v>
      </c>
      <c r="F964" s="831">
        <v>2</v>
      </c>
      <c r="G964" s="830" t="s">
        <v>4794</v>
      </c>
      <c r="H964" s="830" t="s">
        <v>4794</v>
      </c>
      <c r="I964" s="831">
        <v>2</v>
      </c>
      <c r="J964" s="830" t="s">
        <v>4794</v>
      </c>
      <c r="K964" s="831">
        <v>2</v>
      </c>
      <c r="L964" s="830" t="s">
        <v>4794</v>
      </c>
      <c r="M964" s="830" t="s">
        <v>4794</v>
      </c>
      <c r="N964" s="831">
        <v>2</v>
      </c>
      <c r="O964" s="830" t="s">
        <v>4794</v>
      </c>
      <c r="P964" s="830" t="s">
        <v>4794</v>
      </c>
      <c r="Q964" s="832">
        <f t="shared" si="13"/>
        <v>8</v>
      </c>
      <c r="R964" s="833" t="s">
        <v>4025</v>
      </c>
      <c r="S964" s="834"/>
      <c r="T964" s="850"/>
      <c r="U964" s="850"/>
      <c r="V964" s="850"/>
      <c r="W964" s="850"/>
      <c r="X964" s="850"/>
      <c r="Y964" s="850"/>
      <c r="Z964" s="850"/>
      <c r="AA964" s="850"/>
      <c r="AB964" s="850"/>
      <c r="AC964" s="850"/>
      <c r="AD964" s="850"/>
      <c r="AE964" s="850"/>
      <c r="AF964" s="835"/>
    </row>
    <row r="965" spans="1:32" ht="31.5">
      <c r="A965" s="827">
        <v>933</v>
      </c>
      <c r="B965" s="828" t="s">
        <v>2693</v>
      </c>
      <c r="C965" s="828" t="s">
        <v>454</v>
      </c>
      <c r="D965" s="829" t="s">
        <v>455</v>
      </c>
      <c r="E965" s="831">
        <v>10</v>
      </c>
      <c r="F965" s="831">
        <v>10</v>
      </c>
      <c r="G965" s="831">
        <v>10</v>
      </c>
      <c r="H965" s="831">
        <v>10</v>
      </c>
      <c r="I965" s="831">
        <v>10</v>
      </c>
      <c r="J965" s="831">
        <v>10</v>
      </c>
      <c r="K965" s="831">
        <v>10</v>
      </c>
      <c r="L965" s="831">
        <v>10</v>
      </c>
      <c r="M965" s="831">
        <v>10</v>
      </c>
      <c r="N965" s="831">
        <v>10</v>
      </c>
      <c r="O965" s="831">
        <v>10</v>
      </c>
      <c r="P965" s="831">
        <v>10</v>
      </c>
      <c r="Q965" s="832">
        <f t="shared" si="13"/>
        <v>120</v>
      </c>
      <c r="R965" s="833" t="s">
        <v>4025</v>
      </c>
      <c r="S965" s="834"/>
      <c r="T965" s="850"/>
      <c r="U965" s="850"/>
      <c r="V965" s="850"/>
      <c r="W965" s="850"/>
      <c r="X965" s="850"/>
      <c r="Y965" s="850"/>
      <c r="Z965" s="850"/>
      <c r="AA965" s="850"/>
      <c r="AB965" s="850"/>
      <c r="AC965" s="850"/>
      <c r="AD965" s="850"/>
      <c r="AE965" s="850"/>
      <c r="AF965" s="835"/>
    </row>
    <row r="966" spans="1:32" ht="31.5">
      <c r="A966" s="827">
        <v>934</v>
      </c>
      <c r="B966" s="828" t="s">
        <v>2693</v>
      </c>
      <c r="C966" s="828" t="s">
        <v>456</v>
      </c>
      <c r="D966" s="829" t="s">
        <v>457</v>
      </c>
      <c r="E966" s="831">
        <v>10</v>
      </c>
      <c r="F966" s="831">
        <v>10</v>
      </c>
      <c r="G966" s="831">
        <v>10</v>
      </c>
      <c r="H966" s="831">
        <v>10</v>
      </c>
      <c r="I966" s="831">
        <v>10</v>
      </c>
      <c r="J966" s="831">
        <v>10</v>
      </c>
      <c r="K966" s="831">
        <v>10</v>
      </c>
      <c r="L966" s="831">
        <v>10</v>
      </c>
      <c r="M966" s="831">
        <v>10</v>
      </c>
      <c r="N966" s="831">
        <v>10</v>
      </c>
      <c r="O966" s="831">
        <v>10</v>
      </c>
      <c r="P966" s="831">
        <v>10</v>
      </c>
      <c r="Q966" s="832">
        <f t="shared" si="13"/>
        <v>120</v>
      </c>
      <c r="R966" s="833" t="s">
        <v>4025</v>
      </c>
      <c r="S966" s="834"/>
      <c r="T966" s="850"/>
      <c r="U966" s="850"/>
      <c r="V966" s="850"/>
      <c r="W966" s="850"/>
      <c r="X966" s="850"/>
      <c r="Y966" s="850"/>
      <c r="Z966" s="850"/>
      <c r="AA966" s="850"/>
      <c r="AB966" s="850"/>
      <c r="AC966" s="850"/>
      <c r="AD966" s="850"/>
      <c r="AE966" s="850"/>
      <c r="AF966" s="835"/>
    </row>
    <row r="967" spans="1:32" ht="21">
      <c r="A967" s="827">
        <v>935</v>
      </c>
      <c r="B967" s="828" t="s">
        <v>2693</v>
      </c>
      <c r="C967" s="828" t="s">
        <v>458</v>
      </c>
      <c r="D967" s="829" t="s">
        <v>459</v>
      </c>
      <c r="E967" s="831">
        <v>1</v>
      </c>
      <c r="F967" s="831">
        <v>1</v>
      </c>
      <c r="G967" s="831">
        <v>1</v>
      </c>
      <c r="H967" s="831">
        <v>1</v>
      </c>
      <c r="I967" s="831">
        <v>1</v>
      </c>
      <c r="J967" s="831">
        <v>1</v>
      </c>
      <c r="K967" s="831">
        <v>1</v>
      </c>
      <c r="L967" s="831">
        <v>1</v>
      </c>
      <c r="M967" s="831">
        <v>1</v>
      </c>
      <c r="N967" s="831">
        <v>1</v>
      </c>
      <c r="O967" s="831">
        <v>1</v>
      </c>
      <c r="P967" s="831">
        <v>1</v>
      </c>
      <c r="Q967" s="832">
        <f t="shared" si="13"/>
        <v>12</v>
      </c>
      <c r="R967" s="833" t="s">
        <v>4025</v>
      </c>
      <c r="S967" s="834"/>
      <c r="T967" s="877"/>
      <c r="U967" s="877"/>
      <c r="V967" s="877"/>
      <c r="W967" s="877"/>
      <c r="X967" s="877"/>
      <c r="Y967" s="877"/>
      <c r="Z967" s="877"/>
      <c r="AA967" s="877"/>
      <c r="AB967" s="877"/>
      <c r="AC967" s="877"/>
      <c r="AD967" s="877"/>
      <c r="AE967" s="877"/>
      <c r="AF967" s="835"/>
    </row>
    <row r="968" spans="1:32" ht="42">
      <c r="A968" s="827">
        <v>936</v>
      </c>
      <c r="B968" s="828" t="s">
        <v>2693</v>
      </c>
      <c r="C968" s="828" t="s">
        <v>460</v>
      </c>
      <c r="D968" s="829" t="s">
        <v>461</v>
      </c>
      <c r="E968" s="830" t="s">
        <v>4794</v>
      </c>
      <c r="F968" s="831">
        <v>3</v>
      </c>
      <c r="G968" s="830" t="s">
        <v>4794</v>
      </c>
      <c r="H968" s="830" t="s">
        <v>4794</v>
      </c>
      <c r="I968" s="831">
        <v>3</v>
      </c>
      <c r="J968" s="830" t="s">
        <v>4794</v>
      </c>
      <c r="K968" s="831">
        <v>3</v>
      </c>
      <c r="L968" s="830" t="s">
        <v>4794</v>
      </c>
      <c r="M968" s="830" t="s">
        <v>4794</v>
      </c>
      <c r="N968" s="830" t="s">
        <v>4794</v>
      </c>
      <c r="O968" s="831">
        <v>3</v>
      </c>
      <c r="P968" s="830" t="s">
        <v>4794</v>
      </c>
      <c r="Q968" s="832">
        <f t="shared" si="13"/>
        <v>12</v>
      </c>
      <c r="R968" s="833" t="s">
        <v>4025</v>
      </c>
      <c r="S968" s="834"/>
      <c r="T968" s="877"/>
      <c r="U968" s="877"/>
      <c r="V968" s="877"/>
      <c r="W968" s="877"/>
      <c r="X968" s="877"/>
      <c r="Y968" s="877"/>
      <c r="Z968" s="877"/>
      <c r="AA968" s="877"/>
      <c r="AB968" s="877"/>
      <c r="AC968" s="877"/>
      <c r="AD968" s="877"/>
      <c r="AE968" s="877"/>
      <c r="AF968" s="835"/>
    </row>
    <row r="969" spans="1:32" ht="21.75" thickBot="1">
      <c r="A969" s="838">
        <v>937</v>
      </c>
      <c r="B969" s="839" t="s">
        <v>2693</v>
      </c>
      <c r="C969" s="839" t="s">
        <v>462</v>
      </c>
      <c r="D969" s="840" t="s">
        <v>463</v>
      </c>
      <c r="E969" s="841"/>
      <c r="F969" s="841"/>
      <c r="G969" s="842">
        <v>50</v>
      </c>
      <c r="H969" s="841"/>
      <c r="I969" s="841"/>
      <c r="J969" s="842">
        <v>50</v>
      </c>
      <c r="K969" s="841"/>
      <c r="L969" s="841"/>
      <c r="M969" s="842">
        <v>50</v>
      </c>
      <c r="N969" s="842">
        <v>50</v>
      </c>
      <c r="O969" s="841"/>
      <c r="P969" s="841"/>
      <c r="Q969" s="843">
        <f t="shared" si="13"/>
        <v>200</v>
      </c>
      <c r="R969" s="844" t="s">
        <v>4025</v>
      </c>
      <c r="S969" s="834"/>
      <c r="T969" s="877"/>
      <c r="U969" s="850"/>
      <c r="V969" s="850"/>
      <c r="W969" s="850"/>
      <c r="X969" s="850"/>
      <c r="Y969" s="850"/>
      <c r="Z969" s="850"/>
      <c r="AA969" s="850"/>
      <c r="AB969" s="850"/>
      <c r="AC969" s="850"/>
      <c r="AD969" s="850"/>
      <c r="AE969" s="850"/>
      <c r="AF969" s="835"/>
    </row>
    <row r="970" spans="1:32" ht="21.75" thickBot="1">
      <c r="A970" s="903"/>
      <c r="B970" s="901"/>
      <c r="C970" s="901"/>
      <c r="D970" s="847" t="s">
        <v>4020</v>
      </c>
      <c r="E970" s="902"/>
      <c r="F970" s="902"/>
      <c r="G970" s="902"/>
      <c r="H970" s="902"/>
      <c r="I970" s="902"/>
      <c r="J970" s="902"/>
      <c r="K970" s="902"/>
      <c r="L970" s="902"/>
      <c r="M970" s="902"/>
      <c r="N970" s="902"/>
      <c r="O970" s="902"/>
      <c r="P970" s="902"/>
      <c r="Q970" s="849">
        <f t="shared" si="13"/>
        <v>0</v>
      </c>
      <c r="R970" s="903"/>
      <c r="S970" s="834"/>
      <c r="T970" s="850"/>
      <c r="U970" s="850"/>
      <c r="V970" s="850"/>
      <c r="W970" s="850"/>
      <c r="X970" s="850"/>
      <c r="Y970" s="850"/>
      <c r="Z970" s="850"/>
      <c r="AA970" s="850"/>
      <c r="AB970" s="850"/>
      <c r="AC970" s="850"/>
      <c r="AD970" s="850"/>
      <c r="AE970" s="850"/>
      <c r="AF970" s="835"/>
    </row>
    <row r="971" spans="1:32" ht="73.5">
      <c r="A971" s="818">
        <v>938</v>
      </c>
      <c r="B971" s="819" t="s">
        <v>464</v>
      </c>
      <c r="C971" s="819" t="s">
        <v>465</v>
      </c>
      <c r="D971" s="820" t="s">
        <v>466</v>
      </c>
      <c r="E971" s="821"/>
      <c r="F971" s="821" t="s">
        <v>4794</v>
      </c>
      <c r="G971" s="821" t="s">
        <v>4794</v>
      </c>
      <c r="H971" s="821" t="s">
        <v>4794</v>
      </c>
      <c r="I971" s="821" t="s">
        <v>4794</v>
      </c>
      <c r="J971" s="822">
        <v>200</v>
      </c>
      <c r="K971" s="821" t="s">
        <v>4794</v>
      </c>
      <c r="L971" s="821" t="s">
        <v>4794</v>
      </c>
      <c r="M971" s="821" t="s">
        <v>4794</v>
      </c>
      <c r="N971" s="821" t="s">
        <v>4794</v>
      </c>
      <c r="O971" s="821" t="s">
        <v>4794</v>
      </c>
      <c r="P971" s="821" t="s">
        <v>4794</v>
      </c>
      <c r="Q971" s="823">
        <f t="shared" si="13"/>
        <v>200</v>
      </c>
      <c r="R971" s="824" t="s">
        <v>4025</v>
      </c>
      <c r="S971" s="834"/>
      <c r="T971" s="850"/>
      <c r="U971" s="850"/>
      <c r="V971" s="850"/>
      <c r="W971" s="850"/>
      <c r="X971" s="850"/>
      <c r="Y971" s="850"/>
      <c r="Z971" s="850"/>
      <c r="AA971" s="850"/>
      <c r="AB971" s="850"/>
      <c r="AC971" s="850"/>
      <c r="AD971" s="850"/>
      <c r="AE971" s="850"/>
      <c r="AF971" s="835"/>
    </row>
    <row r="972" spans="1:32" ht="63">
      <c r="A972" s="827">
        <v>939</v>
      </c>
      <c r="B972" s="828" t="s">
        <v>464</v>
      </c>
      <c r="C972" s="828" t="s">
        <v>467</v>
      </c>
      <c r="D972" s="829" t="s">
        <v>468</v>
      </c>
      <c r="E972" s="830"/>
      <c r="F972" s="830" t="s">
        <v>4794</v>
      </c>
      <c r="G972" s="830" t="s">
        <v>4794</v>
      </c>
      <c r="H972" s="830" t="s">
        <v>4794</v>
      </c>
      <c r="I972" s="830" t="s">
        <v>4794</v>
      </c>
      <c r="J972" s="831">
        <v>500</v>
      </c>
      <c r="K972" s="830" t="s">
        <v>4794</v>
      </c>
      <c r="L972" s="830" t="s">
        <v>4794</v>
      </c>
      <c r="M972" s="830" t="s">
        <v>4794</v>
      </c>
      <c r="N972" s="830" t="s">
        <v>4794</v>
      </c>
      <c r="O972" s="831">
        <v>500</v>
      </c>
      <c r="P972" s="830" t="s">
        <v>4794</v>
      </c>
      <c r="Q972" s="832">
        <f t="shared" si="13"/>
        <v>1000</v>
      </c>
      <c r="R972" s="833" t="s">
        <v>4025</v>
      </c>
      <c r="S972" s="834"/>
      <c r="T972" s="850"/>
      <c r="U972" s="850"/>
      <c r="V972" s="850"/>
      <c r="W972" s="850"/>
      <c r="X972" s="850"/>
      <c r="Y972" s="850"/>
      <c r="Z972" s="850"/>
      <c r="AA972" s="850"/>
      <c r="AB972" s="850"/>
      <c r="AC972" s="850"/>
      <c r="AD972" s="850"/>
      <c r="AE972" s="850"/>
      <c r="AF972" s="835"/>
    </row>
    <row r="973" spans="1:32" ht="63">
      <c r="A973" s="827">
        <v>940</v>
      </c>
      <c r="B973" s="828" t="s">
        <v>464</v>
      </c>
      <c r="C973" s="828" t="s">
        <v>469</v>
      </c>
      <c r="D973" s="829" t="s">
        <v>470</v>
      </c>
      <c r="E973" s="830"/>
      <c r="F973" s="830" t="s">
        <v>4794</v>
      </c>
      <c r="G973" s="830" t="s">
        <v>4794</v>
      </c>
      <c r="H973" s="830" t="s">
        <v>4794</v>
      </c>
      <c r="I973" s="831">
        <v>100</v>
      </c>
      <c r="J973" s="830" t="s">
        <v>4794</v>
      </c>
      <c r="K973" s="830" t="s">
        <v>4794</v>
      </c>
      <c r="L973" s="831">
        <v>100</v>
      </c>
      <c r="M973" s="830" t="s">
        <v>4794</v>
      </c>
      <c r="N973" s="830" t="s">
        <v>4794</v>
      </c>
      <c r="O973" s="830" t="s">
        <v>4794</v>
      </c>
      <c r="P973" s="830" t="s">
        <v>4794</v>
      </c>
      <c r="Q973" s="832">
        <f t="shared" si="13"/>
        <v>200</v>
      </c>
      <c r="R973" s="833" t="s">
        <v>4025</v>
      </c>
      <c r="S973" s="834"/>
      <c r="T973" s="850"/>
      <c r="U973" s="850"/>
      <c r="V973" s="850"/>
      <c r="W973" s="850"/>
      <c r="X973" s="850"/>
      <c r="Y973" s="850"/>
      <c r="Z973" s="850"/>
      <c r="AA973" s="850"/>
      <c r="AB973" s="850"/>
      <c r="AC973" s="850"/>
      <c r="AD973" s="850"/>
      <c r="AE973" s="850"/>
      <c r="AF973" s="835"/>
    </row>
    <row r="974" spans="1:32" ht="31.5">
      <c r="A974" s="827">
        <v>941</v>
      </c>
      <c r="B974" s="828" t="s">
        <v>464</v>
      </c>
      <c r="C974" s="828" t="s">
        <v>471</v>
      </c>
      <c r="D974" s="829" t="s">
        <v>472</v>
      </c>
      <c r="E974" s="830"/>
      <c r="F974" s="830" t="s">
        <v>4794</v>
      </c>
      <c r="G974" s="830" t="s">
        <v>4794</v>
      </c>
      <c r="H974" s="830" t="s">
        <v>4794</v>
      </c>
      <c r="I974" s="831">
        <v>500</v>
      </c>
      <c r="J974" s="830" t="s">
        <v>4794</v>
      </c>
      <c r="K974" s="830" t="s">
        <v>4794</v>
      </c>
      <c r="L974" s="830" t="s">
        <v>4794</v>
      </c>
      <c r="M974" s="830" t="s">
        <v>4794</v>
      </c>
      <c r="N974" s="830" t="s">
        <v>4794</v>
      </c>
      <c r="O974" s="830" t="s">
        <v>4794</v>
      </c>
      <c r="P974" s="830" t="s">
        <v>4794</v>
      </c>
      <c r="Q974" s="832">
        <f t="shared" si="13"/>
        <v>500</v>
      </c>
      <c r="R974" s="833" t="s">
        <v>4025</v>
      </c>
      <c r="S974" s="834"/>
      <c r="T974" s="850"/>
      <c r="U974" s="850"/>
      <c r="V974" s="850"/>
      <c r="W974" s="850"/>
      <c r="X974" s="850"/>
      <c r="Y974" s="850"/>
      <c r="Z974" s="850"/>
      <c r="AA974" s="850"/>
      <c r="AB974" s="850"/>
      <c r="AC974" s="850"/>
      <c r="AD974" s="850"/>
      <c r="AE974" s="850"/>
      <c r="AF974" s="835"/>
    </row>
    <row r="975" spans="1:32" ht="63">
      <c r="A975" s="827">
        <v>942</v>
      </c>
      <c r="B975" s="828" t="s">
        <v>464</v>
      </c>
      <c r="C975" s="828" t="s">
        <v>473</v>
      </c>
      <c r="D975" s="829" t="s">
        <v>474</v>
      </c>
      <c r="E975" s="830"/>
      <c r="F975" s="831">
        <v>100</v>
      </c>
      <c r="G975" s="830" t="s">
        <v>4794</v>
      </c>
      <c r="H975" s="831">
        <v>100</v>
      </c>
      <c r="I975" s="830" t="s">
        <v>4794</v>
      </c>
      <c r="J975" s="830" t="s">
        <v>4794</v>
      </c>
      <c r="K975" s="831">
        <v>100</v>
      </c>
      <c r="L975" s="830" t="s">
        <v>4794</v>
      </c>
      <c r="M975" s="830" t="s">
        <v>4794</v>
      </c>
      <c r="N975" s="830" t="s">
        <v>4794</v>
      </c>
      <c r="O975" s="830" t="s">
        <v>4794</v>
      </c>
      <c r="P975" s="830" t="s">
        <v>4794</v>
      </c>
      <c r="Q975" s="832">
        <f t="shared" si="13"/>
        <v>300</v>
      </c>
      <c r="R975" s="833" t="s">
        <v>4025</v>
      </c>
      <c r="S975" s="834"/>
      <c r="T975" s="877"/>
      <c r="U975" s="877"/>
      <c r="V975" s="877"/>
      <c r="W975" s="877"/>
      <c r="X975" s="877"/>
      <c r="Y975" s="877"/>
      <c r="Z975" s="877"/>
      <c r="AA975" s="877"/>
      <c r="AB975" s="877"/>
      <c r="AC975" s="877"/>
      <c r="AD975" s="877"/>
      <c r="AE975" s="877"/>
      <c r="AF975" s="835"/>
    </row>
    <row r="976" spans="1:32" ht="63">
      <c r="A976" s="827">
        <v>943</v>
      </c>
      <c r="B976" s="828" t="s">
        <v>464</v>
      </c>
      <c r="C976" s="828" t="s">
        <v>475</v>
      </c>
      <c r="D976" s="829" t="s">
        <v>476</v>
      </c>
      <c r="E976" s="830"/>
      <c r="F976" s="830" t="s">
        <v>4794</v>
      </c>
      <c r="G976" s="831">
        <v>300</v>
      </c>
      <c r="H976" s="830" t="s">
        <v>4794</v>
      </c>
      <c r="I976" s="830" t="s">
        <v>4794</v>
      </c>
      <c r="J976" s="831">
        <v>100</v>
      </c>
      <c r="K976" s="830" t="s">
        <v>4794</v>
      </c>
      <c r="L976" s="830" t="s">
        <v>4794</v>
      </c>
      <c r="M976" s="830" t="s">
        <v>4794</v>
      </c>
      <c r="N976" s="830" t="s">
        <v>4794</v>
      </c>
      <c r="O976" s="830" t="s">
        <v>4794</v>
      </c>
      <c r="P976" s="830" t="s">
        <v>4794</v>
      </c>
      <c r="Q976" s="832">
        <f t="shared" si="13"/>
        <v>400</v>
      </c>
      <c r="R976" s="833" t="s">
        <v>4025</v>
      </c>
      <c r="S976" s="834"/>
      <c r="T976" s="853"/>
      <c r="U976" s="853"/>
      <c r="V976" s="853"/>
      <c r="W976" s="853"/>
      <c r="X976" s="853"/>
      <c r="Y976" s="853"/>
      <c r="Z976" s="853"/>
      <c r="AA976" s="853"/>
      <c r="AB976" s="853"/>
      <c r="AC976" s="853"/>
      <c r="AD976" s="853"/>
      <c r="AE976" s="853"/>
      <c r="AF976" s="835"/>
    </row>
    <row r="977" spans="1:32" ht="63">
      <c r="A977" s="827">
        <v>944</v>
      </c>
      <c r="B977" s="828" t="s">
        <v>464</v>
      </c>
      <c r="C977" s="833" t="s">
        <v>477</v>
      </c>
      <c r="D977" s="829" t="s">
        <v>478</v>
      </c>
      <c r="E977" s="830"/>
      <c r="F977" s="830" t="s">
        <v>4794</v>
      </c>
      <c r="G977" s="830" t="s">
        <v>4794</v>
      </c>
      <c r="H977" s="830" t="s">
        <v>4794</v>
      </c>
      <c r="I977" s="831">
        <v>100</v>
      </c>
      <c r="J977" s="830" t="s">
        <v>4794</v>
      </c>
      <c r="K977" s="830" t="s">
        <v>4794</v>
      </c>
      <c r="L977" s="831">
        <v>100</v>
      </c>
      <c r="M977" s="830" t="s">
        <v>4794</v>
      </c>
      <c r="N977" s="830" t="s">
        <v>4794</v>
      </c>
      <c r="O977" s="831">
        <v>100</v>
      </c>
      <c r="P977" s="830" t="s">
        <v>4794</v>
      </c>
      <c r="Q977" s="832">
        <f t="shared" si="13"/>
        <v>300</v>
      </c>
      <c r="R977" s="833" t="s">
        <v>4025</v>
      </c>
      <c r="S977" s="834"/>
      <c r="T977" s="853"/>
      <c r="U977" s="853"/>
      <c r="V977" s="853"/>
      <c r="W977" s="853"/>
      <c r="X977" s="853"/>
      <c r="Y977" s="853"/>
      <c r="Z977" s="853"/>
      <c r="AA977" s="853"/>
      <c r="AB977" s="853"/>
      <c r="AC977" s="853"/>
      <c r="AD977" s="853"/>
      <c r="AE977" s="853"/>
      <c r="AF977" s="835"/>
    </row>
    <row r="978" spans="1:32" ht="84">
      <c r="A978" s="827">
        <v>945</v>
      </c>
      <c r="B978" s="828" t="s">
        <v>464</v>
      </c>
      <c r="C978" s="833" t="s">
        <v>479</v>
      </c>
      <c r="D978" s="829" t="s">
        <v>480</v>
      </c>
      <c r="E978" s="830"/>
      <c r="F978" s="830" t="s">
        <v>4794</v>
      </c>
      <c r="G978" s="830" t="s">
        <v>4794</v>
      </c>
      <c r="H978" s="830" t="s">
        <v>4794</v>
      </c>
      <c r="I978" s="831">
        <v>100</v>
      </c>
      <c r="J978" s="830" t="s">
        <v>4794</v>
      </c>
      <c r="K978" s="830" t="s">
        <v>4794</v>
      </c>
      <c r="L978" s="830"/>
      <c r="M978" s="830" t="s">
        <v>4794</v>
      </c>
      <c r="N978" s="830" t="s">
        <v>4794</v>
      </c>
      <c r="O978" s="830"/>
      <c r="P978" s="830" t="s">
        <v>4794</v>
      </c>
      <c r="Q978" s="832">
        <f t="shared" si="13"/>
        <v>100</v>
      </c>
      <c r="R978" s="833" t="s">
        <v>4025</v>
      </c>
      <c r="S978" s="834"/>
      <c r="T978" s="853"/>
      <c r="U978" s="853"/>
      <c r="V978" s="853"/>
      <c r="W978" s="853"/>
      <c r="X978" s="853"/>
      <c r="Y978" s="853"/>
      <c r="Z978" s="853"/>
      <c r="AA978" s="853"/>
      <c r="AB978" s="853"/>
      <c r="AC978" s="853"/>
      <c r="AD978" s="853"/>
      <c r="AE978" s="853"/>
      <c r="AF978" s="835"/>
    </row>
    <row r="979" spans="1:32" ht="84">
      <c r="A979" s="827">
        <v>946</v>
      </c>
      <c r="B979" s="828" t="s">
        <v>464</v>
      </c>
      <c r="C979" s="833" t="s">
        <v>481</v>
      </c>
      <c r="D979" s="829" t="s">
        <v>482</v>
      </c>
      <c r="E979" s="830"/>
      <c r="F979" s="830" t="s">
        <v>4794</v>
      </c>
      <c r="G979" s="831">
        <v>100</v>
      </c>
      <c r="H979" s="830" t="s">
        <v>4794</v>
      </c>
      <c r="I979" s="831">
        <v>100</v>
      </c>
      <c r="J979" s="830" t="s">
        <v>4794</v>
      </c>
      <c r="K979" s="830" t="s">
        <v>4794</v>
      </c>
      <c r="L979" s="831">
        <v>100</v>
      </c>
      <c r="M979" s="830" t="s">
        <v>4794</v>
      </c>
      <c r="N979" s="830" t="s">
        <v>4794</v>
      </c>
      <c r="O979" s="831">
        <v>100</v>
      </c>
      <c r="P979" s="830" t="s">
        <v>4794</v>
      </c>
      <c r="Q979" s="832">
        <f t="shared" si="13"/>
        <v>400</v>
      </c>
      <c r="R979" s="833" t="s">
        <v>4025</v>
      </c>
      <c r="S979" s="834"/>
      <c r="T979" s="853"/>
      <c r="U979" s="853"/>
      <c r="V979" s="853"/>
      <c r="W979" s="853"/>
      <c r="X979" s="853"/>
      <c r="Y979" s="853"/>
      <c r="Z979" s="853"/>
      <c r="AA979" s="853"/>
      <c r="AB979" s="853"/>
      <c r="AC979" s="853"/>
      <c r="AD979" s="853"/>
      <c r="AE979" s="853"/>
      <c r="AF979" s="835"/>
    </row>
    <row r="980" spans="1:32" ht="73.5">
      <c r="A980" s="827">
        <v>947</v>
      </c>
      <c r="B980" s="828" t="s">
        <v>464</v>
      </c>
      <c r="C980" s="833" t="s">
        <v>483</v>
      </c>
      <c r="D980" s="829" t="s">
        <v>484</v>
      </c>
      <c r="E980" s="830"/>
      <c r="F980" s="831">
        <v>100</v>
      </c>
      <c r="G980" s="830" t="s">
        <v>4794</v>
      </c>
      <c r="H980" s="830" t="s">
        <v>4794</v>
      </c>
      <c r="I980" s="830" t="s">
        <v>4794</v>
      </c>
      <c r="J980" s="831">
        <v>100</v>
      </c>
      <c r="K980" s="830" t="s">
        <v>4794</v>
      </c>
      <c r="L980" s="830" t="s">
        <v>4794</v>
      </c>
      <c r="M980" s="831">
        <v>50</v>
      </c>
      <c r="N980" s="830" t="s">
        <v>4794</v>
      </c>
      <c r="O980" s="830" t="s">
        <v>4794</v>
      </c>
      <c r="P980" s="830" t="s">
        <v>4794</v>
      </c>
      <c r="Q980" s="832">
        <f t="shared" si="13"/>
        <v>250</v>
      </c>
      <c r="R980" s="833" t="s">
        <v>4025</v>
      </c>
      <c r="S980" s="834"/>
      <c r="T980" s="853"/>
      <c r="U980" s="853"/>
      <c r="V980" s="853"/>
      <c r="W980" s="853"/>
      <c r="X980" s="853"/>
      <c r="Y980" s="853"/>
      <c r="Z980" s="853"/>
      <c r="AA980" s="853"/>
      <c r="AB980" s="853"/>
      <c r="AC980" s="853"/>
      <c r="AD980" s="853"/>
      <c r="AE980" s="853"/>
      <c r="AF980" s="835"/>
    </row>
    <row r="981" spans="1:32" ht="31.5">
      <c r="A981" s="827">
        <v>948</v>
      </c>
      <c r="B981" s="828" t="s">
        <v>464</v>
      </c>
      <c r="C981" s="833" t="s">
        <v>485</v>
      </c>
      <c r="D981" s="829" t="s">
        <v>486</v>
      </c>
      <c r="E981" s="830" t="s">
        <v>4794</v>
      </c>
      <c r="F981" s="830" t="s">
        <v>4794</v>
      </c>
      <c r="G981" s="830" t="s">
        <v>4794</v>
      </c>
      <c r="H981" s="831">
        <v>500</v>
      </c>
      <c r="I981" s="830" t="s">
        <v>4794</v>
      </c>
      <c r="J981" s="830" t="s">
        <v>4794</v>
      </c>
      <c r="K981" s="831">
        <v>500</v>
      </c>
      <c r="L981" s="830" t="s">
        <v>4794</v>
      </c>
      <c r="M981" s="830" t="s">
        <v>4794</v>
      </c>
      <c r="N981" s="831">
        <v>500</v>
      </c>
      <c r="O981" s="830" t="s">
        <v>4794</v>
      </c>
      <c r="P981" s="830" t="s">
        <v>4794</v>
      </c>
      <c r="Q981" s="832">
        <f t="shared" si="13"/>
        <v>1500</v>
      </c>
      <c r="R981" s="833" t="s">
        <v>4025</v>
      </c>
      <c r="S981" s="834"/>
      <c r="T981" s="853"/>
      <c r="U981" s="853"/>
      <c r="V981" s="853"/>
      <c r="W981" s="853"/>
      <c r="X981" s="853"/>
      <c r="Y981" s="853"/>
      <c r="Z981" s="853"/>
      <c r="AA981" s="853"/>
      <c r="AB981" s="853"/>
      <c r="AC981" s="853"/>
      <c r="AD981" s="853"/>
      <c r="AE981" s="853"/>
      <c r="AF981" s="835"/>
    </row>
    <row r="982" spans="1:32" ht="31.5">
      <c r="A982" s="827">
        <v>949</v>
      </c>
      <c r="B982" s="828" t="s">
        <v>464</v>
      </c>
      <c r="C982" s="833" t="s">
        <v>487</v>
      </c>
      <c r="D982" s="829" t="s">
        <v>488</v>
      </c>
      <c r="E982" s="830" t="s">
        <v>4794</v>
      </c>
      <c r="F982" s="831">
        <v>10</v>
      </c>
      <c r="G982" s="830" t="s">
        <v>4794</v>
      </c>
      <c r="H982" s="831">
        <v>10</v>
      </c>
      <c r="I982" s="830" t="s">
        <v>4794</v>
      </c>
      <c r="J982" s="831">
        <v>10</v>
      </c>
      <c r="K982" s="830" t="s">
        <v>4794</v>
      </c>
      <c r="L982" s="831">
        <v>10</v>
      </c>
      <c r="M982" s="830" t="s">
        <v>4794</v>
      </c>
      <c r="N982" s="830" t="s">
        <v>4794</v>
      </c>
      <c r="O982" s="830" t="s">
        <v>4794</v>
      </c>
      <c r="P982" s="830" t="s">
        <v>4794</v>
      </c>
      <c r="Q982" s="832">
        <f t="shared" si="13"/>
        <v>40</v>
      </c>
      <c r="R982" s="833" t="s">
        <v>4025</v>
      </c>
      <c r="S982" s="834"/>
      <c r="T982" s="853"/>
      <c r="U982" s="853"/>
      <c r="V982" s="853"/>
      <c r="W982" s="853"/>
      <c r="X982" s="853"/>
      <c r="Y982" s="853"/>
      <c r="Z982" s="853"/>
      <c r="AA982" s="853"/>
      <c r="AB982" s="853"/>
      <c r="AC982" s="853"/>
      <c r="AD982" s="853"/>
      <c r="AE982" s="853"/>
      <c r="AF982" s="835"/>
    </row>
    <row r="983" spans="1:32" ht="63">
      <c r="A983" s="827">
        <v>950</v>
      </c>
      <c r="B983" s="828" t="s">
        <v>464</v>
      </c>
      <c r="C983" s="833" t="s">
        <v>489</v>
      </c>
      <c r="D983" s="829" t="s">
        <v>490</v>
      </c>
      <c r="E983" s="830" t="s">
        <v>4794</v>
      </c>
      <c r="F983" s="830" t="s">
        <v>4794</v>
      </c>
      <c r="G983" s="831">
        <v>10</v>
      </c>
      <c r="H983" s="830" t="s">
        <v>4794</v>
      </c>
      <c r="I983" s="831">
        <v>10</v>
      </c>
      <c r="J983" s="830" t="s">
        <v>4794</v>
      </c>
      <c r="K983" s="831">
        <v>10</v>
      </c>
      <c r="L983" s="830" t="s">
        <v>4794</v>
      </c>
      <c r="M983" s="831">
        <v>10</v>
      </c>
      <c r="N983" s="830" t="s">
        <v>4794</v>
      </c>
      <c r="O983" s="830" t="s">
        <v>4794</v>
      </c>
      <c r="P983" s="830" t="s">
        <v>4794</v>
      </c>
      <c r="Q983" s="925">
        <f t="shared" ref="Q983:Q1088" si="14">SUM(E983:P983)</f>
        <v>40</v>
      </c>
      <c r="R983" s="833" t="s">
        <v>4025</v>
      </c>
      <c r="S983" s="834"/>
      <c r="T983" s="853"/>
      <c r="U983" s="853"/>
      <c r="V983" s="853"/>
      <c r="W983" s="853"/>
      <c r="X983" s="853"/>
      <c r="Y983" s="853"/>
      <c r="Z983" s="853"/>
      <c r="AA983" s="853"/>
      <c r="AB983" s="853"/>
      <c r="AC983" s="853"/>
      <c r="AD983" s="853"/>
      <c r="AE983" s="853"/>
      <c r="AF983" s="835"/>
    </row>
    <row r="984" spans="1:32" ht="94.5">
      <c r="A984" s="827">
        <v>951</v>
      </c>
      <c r="B984" s="828" t="s">
        <v>464</v>
      </c>
      <c r="C984" s="854">
        <v>9105393</v>
      </c>
      <c r="D984" s="855" t="s">
        <v>491</v>
      </c>
      <c r="E984" s="830"/>
      <c r="F984" s="830"/>
      <c r="G984" s="830"/>
      <c r="H984" s="830"/>
      <c r="I984" s="926">
        <v>400</v>
      </c>
      <c r="J984" s="830"/>
      <c r="K984" s="830"/>
      <c r="L984" s="830"/>
      <c r="M984" s="830"/>
      <c r="N984" s="830"/>
      <c r="O984" s="830"/>
      <c r="P984" s="830"/>
      <c r="Q984" s="925">
        <f t="shared" si="14"/>
        <v>400</v>
      </c>
      <c r="R984" s="833" t="s">
        <v>4025</v>
      </c>
      <c r="S984" s="834"/>
      <c r="T984" s="853"/>
      <c r="U984" s="853"/>
      <c r="V984" s="853"/>
      <c r="W984" s="853"/>
      <c r="X984" s="853"/>
      <c r="Y984" s="853"/>
      <c r="Z984" s="853"/>
      <c r="AA984" s="853"/>
      <c r="AB984" s="853"/>
      <c r="AC984" s="853"/>
      <c r="AD984" s="853"/>
      <c r="AE984" s="853"/>
      <c r="AF984" s="835"/>
    </row>
    <row r="985" spans="1:32" ht="73.5">
      <c r="A985" s="827">
        <v>952</v>
      </c>
      <c r="B985" s="828" t="s">
        <v>464</v>
      </c>
      <c r="C985" s="854">
        <v>9105394</v>
      </c>
      <c r="D985" s="855" t="s">
        <v>492</v>
      </c>
      <c r="E985" s="830"/>
      <c r="F985" s="830"/>
      <c r="G985" s="830"/>
      <c r="H985" s="830"/>
      <c r="I985" s="926">
        <v>240</v>
      </c>
      <c r="J985" s="830"/>
      <c r="K985" s="830"/>
      <c r="L985" s="830"/>
      <c r="M985" s="830"/>
      <c r="N985" s="830"/>
      <c r="O985" s="830"/>
      <c r="P985" s="830"/>
      <c r="Q985" s="925">
        <f t="shared" si="14"/>
        <v>240</v>
      </c>
      <c r="R985" s="833" t="s">
        <v>4025</v>
      </c>
      <c r="S985" s="834"/>
      <c r="T985" s="853"/>
      <c r="U985" s="853"/>
      <c r="V985" s="853"/>
      <c r="W985" s="853"/>
      <c r="X985" s="853"/>
      <c r="Y985" s="853"/>
      <c r="Z985" s="853"/>
      <c r="AA985" s="853"/>
      <c r="AB985" s="853"/>
      <c r="AC985" s="853"/>
      <c r="AD985" s="853"/>
      <c r="AE985" s="853"/>
      <c r="AF985" s="835"/>
    </row>
    <row r="986" spans="1:32" ht="84">
      <c r="A986" s="827">
        <v>953</v>
      </c>
      <c r="B986" s="828" t="s">
        <v>464</v>
      </c>
      <c r="C986" s="854">
        <v>9105395</v>
      </c>
      <c r="D986" s="855" t="s">
        <v>493</v>
      </c>
      <c r="E986" s="830"/>
      <c r="F986" s="830"/>
      <c r="G986" s="830"/>
      <c r="H986" s="830"/>
      <c r="I986" s="926">
        <v>500</v>
      </c>
      <c r="J986" s="830"/>
      <c r="K986" s="830"/>
      <c r="L986" s="830"/>
      <c r="M986" s="830"/>
      <c r="N986" s="830"/>
      <c r="O986" s="830"/>
      <c r="P986" s="830"/>
      <c r="Q986" s="925">
        <f t="shared" si="14"/>
        <v>500</v>
      </c>
      <c r="R986" s="833" t="s">
        <v>4025</v>
      </c>
      <c r="S986" s="834"/>
      <c r="T986" s="853"/>
      <c r="U986" s="853"/>
      <c r="V986" s="853"/>
      <c r="W986" s="853"/>
      <c r="X986" s="853"/>
      <c r="Y986" s="853"/>
      <c r="Z986" s="853"/>
      <c r="AA986" s="853"/>
      <c r="AB986" s="853"/>
      <c r="AC986" s="853"/>
      <c r="AD986" s="853"/>
      <c r="AE986" s="853"/>
      <c r="AF986" s="835"/>
    </row>
    <row r="987" spans="1:32" ht="52.5">
      <c r="A987" s="827">
        <v>954</v>
      </c>
      <c r="B987" s="828" t="s">
        <v>464</v>
      </c>
      <c r="C987" s="854">
        <v>9105396</v>
      </c>
      <c r="D987" s="855" t="s">
        <v>494</v>
      </c>
      <c r="E987" s="830"/>
      <c r="F987" s="830"/>
      <c r="G987" s="830"/>
      <c r="H987" s="830"/>
      <c r="I987" s="926">
        <v>480</v>
      </c>
      <c r="J987" s="830"/>
      <c r="K987" s="830"/>
      <c r="L987" s="830"/>
      <c r="M987" s="830"/>
      <c r="N987" s="830"/>
      <c r="O987" s="830"/>
      <c r="P987" s="830"/>
      <c r="Q987" s="925">
        <f t="shared" si="14"/>
        <v>480</v>
      </c>
      <c r="R987" s="833" t="s">
        <v>4025</v>
      </c>
      <c r="S987" s="834"/>
      <c r="T987" s="853"/>
      <c r="U987" s="853"/>
      <c r="V987" s="853"/>
      <c r="W987" s="853"/>
      <c r="X987" s="853"/>
      <c r="Y987" s="853"/>
      <c r="Z987" s="853"/>
      <c r="AA987" s="853"/>
      <c r="AB987" s="853"/>
      <c r="AC987" s="853"/>
      <c r="AD987" s="853"/>
      <c r="AE987" s="853"/>
      <c r="AF987" s="835"/>
    </row>
    <row r="988" spans="1:32" ht="52.5">
      <c r="A988" s="827">
        <v>955</v>
      </c>
      <c r="B988" s="828" t="s">
        <v>464</v>
      </c>
      <c r="C988" s="854">
        <v>9105397</v>
      </c>
      <c r="D988" s="855" t="s">
        <v>495</v>
      </c>
      <c r="E988" s="830"/>
      <c r="F988" s="830"/>
      <c r="G988" s="830"/>
      <c r="H988" s="830"/>
      <c r="I988" s="926">
        <v>1650</v>
      </c>
      <c r="J988" s="830"/>
      <c r="K988" s="830"/>
      <c r="L988" s="830"/>
      <c r="M988" s="830"/>
      <c r="N988" s="830"/>
      <c r="O988" s="830"/>
      <c r="P988" s="830"/>
      <c r="Q988" s="925">
        <f t="shared" si="14"/>
        <v>1650</v>
      </c>
      <c r="R988" s="833" t="s">
        <v>4025</v>
      </c>
      <c r="S988" s="834"/>
      <c r="T988" s="853"/>
      <c r="U988" s="853"/>
      <c r="V988" s="853"/>
      <c r="W988" s="853"/>
      <c r="X988" s="853"/>
      <c r="Y988" s="853"/>
      <c r="Z988" s="853"/>
      <c r="AA988" s="853"/>
      <c r="AB988" s="853"/>
      <c r="AC988" s="853"/>
      <c r="AD988" s="853"/>
      <c r="AE988" s="853"/>
      <c r="AF988" s="835"/>
    </row>
    <row r="989" spans="1:32" ht="42">
      <c r="A989" s="827">
        <v>956</v>
      </c>
      <c r="B989" s="828" t="s">
        <v>464</v>
      </c>
      <c r="C989" s="854">
        <v>9105398</v>
      </c>
      <c r="D989" s="855" t="s">
        <v>496</v>
      </c>
      <c r="E989" s="830"/>
      <c r="F989" s="830"/>
      <c r="G989" s="830"/>
      <c r="H989" s="830"/>
      <c r="I989" s="926">
        <v>100</v>
      </c>
      <c r="J989" s="830"/>
      <c r="K989" s="830"/>
      <c r="L989" s="830"/>
      <c r="M989" s="830"/>
      <c r="N989" s="830"/>
      <c r="O989" s="830"/>
      <c r="P989" s="830"/>
      <c r="Q989" s="925">
        <f t="shared" si="14"/>
        <v>100</v>
      </c>
      <c r="R989" s="833" t="s">
        <v>4025</v>
      </c>
      <c r="S989" s="834"/>
      <c r="T989" s="853"/>
      <c r="U989" s="853"/>
      <c r="V989" s="853"/>
      <c r="W989" s="853"/>
      <c r="X989" s="853"/>
      <c r="Y989" s="853"/>
      <c r="Z989" s="853"/>
      <c r="AA989" s="853"/>
      <c r="AB989" s="853"/>
      <c r="AC989" s="853"/>
      <c r="AD989" s="853"/>
      <c r="AE989" s="853"/>
      <c r="AF989" s="835"/>
    </row>
    <row r="990" spans="1:32" ht="31.5">
      <c r="A990" s="827">
        <v>957</v>
      </c>
      <c r="B990" s="828" t="s">
        <v>464</v>
      </c>
      <c r="C990" s="854">
        <v>9105399</v>
      </c>
      <c r="D990" s="855" t="s">
        <v>497</v>
      </c>
      <c r="E990" s="830"/>
      <c r="F990" s="830"/>
      <c r="G990" s="830"/>
      <c r="H990" s="830"/>
      <c r="I990" s="926">
        <v>200</v>
      </c>
      <c r="J990" s="830"/>
      <c r="K990" s="830"/>
      <c r="L990" s="830"/>
      <c r="M990" s="830"/>
      <c r="N990" s="830"/>
      <c r="O990" s="830"/>
      <c r="P990" s="830"/>
      <c r="Q990" s="925">
        <f t="shared" si="14"/>
        <v>200</v>
      </c>
      <c r="R990" s="833" t="s">
        <v>4025</v>
      </c>
      <c r="S990" s="834"/>
      <c r="T990" s="853"/>
      <c r="U990" s="853"/>
      <c r="V990" s="853"/>
      <c r="W990" s="853"/>
      <c r="X990" s="853"/>
      <c r="Y990" s="853"/>
      <c r="Z990" s="853"/>
      <c r="AA990" s="853"/>
      <c r="AB990" s="853"/>
      <c r="AC990" s="853"/>
      <c r="AD990" s="853"/>
      <c r="AE990" s="853"/>
      <c r="AF990" s="835"/>
    </row>
    <row r="991" spans="1:32" ht="52.5">
      <c r="A991" s="827">
        <v>958</v>
      </c>
      <c r="B991" s="828" t="s">
        <v>464</v>
      </c>
      <c r="C991" s="854">
        <v>9105400</v>
      </c>
      <c r="D991" s="855" t="s">
        <v>498</v>
      </c>
      <c r="E991" s="830"/>
      <c r="F991" s="830"/>
      <c r="G991" s="830"/>
      <c r="H991" s="830"/>
      <c r="I991" s="926">
        <v>754</v>
      </c>
      <c r="J991" s="830"/>
      <c r="K991" s="830"/>
      <c r="L991" s="830"/>
      <c r="M991" s="830"/>
      <c r="N991" s="830"/>
      <c r="O991" s="830"/>
      <c r="P991" s="830"/>
      <c r="Q991" s="925">
        <f t="shared" si="14"/>
        <v>754</v>
      </c>
      <c r="R991" s="833" t="s">
        <v>4025</v>
      </c>
      <c r="S991" s="836"/>
      <c r="T991" s="893"/>
      <c r="U991" s="155"/>
      <c r="V991" s="155"/>
      <c r="W991" s="155"/>
      <c r="X991" s="155"/>
      <c r="Y991" s="155"/>
      <c r="Z991" s="155"/>
      <c r="AA991" s="155"/>
      <c r="AB991" s="155"/>
      <c r="AC991" s="155"/>
      <c r="AD991" s="155"/>
      <c r="AE991" s="155"/>
      <c r="AF991" s="835"/>
    </row>
    <row r="992" spans="1:32" ht="42">
      <c r="A992" s="827">
        <v>959</v>
      </c>
      <c r="B992" s="828" t="s">
        <v>464</v>
      </c>
      <c r="C992" s="854">
        <v>9105401</v>
      </c>
      <c r="D992" s="855" t="s">
        <v>499</v>
      </c>
      <c r="E992" s="830"/>
      <c r="F992" s="830"/>
      <c r="G992" s="830"/>
      <c r="H992" s="830"/>
      <c r="I992" s="926">
        <v>100</v>
      </c>
      <c r="J992" s="830"/>
      <c r="K992" s="830"/>
      <c r="L992" s="830"/>
      <c r="M992" s="830"/>
      <c r="N992" s="830"/>
      <c r="O992" s="830"/>
      <c r="P992" s="830"/>
      <c r="Q992" s="925">
        <f t="shared" si="14"/>
        <v>100</v>
      </c>
      <c r="R992" s="833" t="s">
        <v>4025</v>
      </c>
      <c r="S992" s="834"/>
      <c r="T992" s="850"/>
      <c r="U992" s="850"/>
      <c r="V992" s="850"/>
      <c r="W992" s="850"/>
      <c r="X992" s="850"/>
      <c r="Y992" s="850"/>
      <c r="Z992" s="850"/>
      <c r="AA992" s="850"/>
      <c r="AB992" s="850"/>
      <c r="AC992" s="850"/>
      <c r="AD992" s="850"/>
      <c r="AE992" s="850"/>
      <c r="AF992" s="835"/>
    </row>
    <row r="993" spans="1:32" ht="52.5">
      <c r="A993" s="827">
        <v>960</v>
      </c>
      <c r="B993" s="828" t="s">
        <v>464</v>
      </c>
      <c r="C993" s="854">
        <v>9105402</v>
      </c>
      <c r="D993" s="855" t="s">
        <v>500</v>
      </c>
      <c r="E993" s="830"/>
      <c r="F993" s="830"/>
      <c r="G993" s="830"/>
      <c r="H993" s="830"/>
      <c r="I993" s="926">
        <v>100</v>
      </c>
      <c r="J993" s="830"/>
      <c r="K993" s="830"/>
      <c r="L993" s="830"/>
      <c r="M993" s="830"/>
      <c r="N993" s="830"/>
      <c r="O993" s="830"/>
      <c r="P993" s="830"/>
      <c r="Q993" s="925">
        <f t="shared" si="14"/>
        <v>100</v>
      </c>
      <c r="R993" s="833" t="s">
        <v>4025</v>
      </c>
      <c r="S993" s="834"/>
      <c r="T993" s="850"/>
      <c r="U993" s="850"/>
      <c r="V993" s="850"/>
      <c r="W993" s="850"/>
      <c r="X993" s="850"/>
      <c r="Y993" s="850"/>
      <c r="Z993" s="850"/>
      <c r="AA993" s="850"/>
      <c r="AB993" s="850"/>
      <c r="AC993" s="850"/>
      <c r="AD993" s="850"/>
      <c r="AE993" s="850"/>
      <c r="AF993" s="835"/>
    </row>
    <row r="994" spans="1:32" ht="63">
      <c r="A994" s="827">
        <v>961</v>
      </c>
      <c r="B994" s="828" t="s">
        <v>464</v>
      </c>
      <c r="C994" s="854">
        <v>9105403</v>
      </c>
      <c r="D994" s="855" t="s">
        <v>501</v>
      </c>
      <c r="E994" s="830"/>
      <c r="F994" s="830"/>
      <c r="G994" s="830"/>
      <c r="H994" s="830"/>
      <c r="I994" s="926">
        <v>60</v>
      </c>
      <c r="J994" s="830"/>
      <c r="K994" s="830"/>
      <c r="L994" s="830"/>
      <c r="M994" s="830"/>
      <c r="N994" s="830"/>
      <c r="O994" s="830"/>
      <c r="P994" s="830"/>
      <c r="Q994" s="925">
        <f t="shared" si="14"/>
        <v>60</v>
      </c>
      <c r="R994" s="833" t="s">
        <v>4025</v>
      </c>
      <c r="S994" s="834"/>
      <c r="T994" s="877"/>
      <c r="U994" s="877"/>
      <c r="V994" s="877"/>
      <c r="W994" s="877"/>
      <c r="X994" s="877"/>
      <c r="Y994" s="877"/>
      <c r="Z994" s="877"/>
      <c r="AA994" s="877"/>
      <c r="AB994" s="877"/>
      <c r="AC994" s="877"/>
      <c r="AD994" s="877"/>
      <c r="AE994" s="877"/>
      <c r="AF994" s="835"/>
    </row>
    <row r="995" spans="1:32" ht="42">
      <c r="A995" s="827">
        <v>962</v>
      </c>
      <c r="B995" s="828" t="s">
        <v>464</v>
      </c>
      <c r="C995" s="854">
        <v>9105404</v>
      </c>
      <c r="D995" s="855" t="s">
        <v>502</v>
      </c>
      <c r="E995" s="830"/>
      <c r="F995" s="830"/>
      <c r="G995" s="830"/>
      <c r="H995" s="830"/>
      <c r="I995" s="926">
        <v>75</v>
      </c>
      <c r="J995" s="830"/>
      <c r="K995" s="830"/>
      <c r="L995" s="830"/>
      <c r="M995" s="830"/>
      <c r="N995" s="830"/>
      <c r="O995" s="830"/>
      <c r="P995" s="830"/>
      <c r="Q995" s="925">
        <f t="shared" si="14"/>
        <v>75</v>
      </c>
      <c r="R995" s="833" t="s">
        <v>4025</v>
      </c>
      <c r="S995" s="836"/>
      <c r="T995" s="893"/>
      <c r="U995" s="155"/>
      <c r="V995" s="155"/>
      <c r="W995" s="155"/>
      <c r="X995" s="155"/>
      <c r="Y995" s="155"/>
      <c r="Z995" s="155"/>
      <c r="AA995" s="155"/>
      <c r="AB995" s="155"/>
      <c r="AC995" s="155"/>
      <c r="AD995" s="155"/>
      <c r="AE995" s="155"/>
      <c r="AF995" s="835"/>
    </row>
    <row r="996" spans="1:32" ht="52.5">
      <c r="A996" s="827">
        <v>963</v>
      </c>
      <c r="B996" s="828" t="s">
        <v>464</v>
      </c>
      <c r="C996" s="854">
        <v>9105405</v>
      </c>
      <c r="D996" s="855" t="s">
        <v>503</v>
      </c>
      <c r="E996" s="830"/>
      <c r="F996" s="830"/>
      <c r="G996" s="830"/>
      <c r="H996" s="830"/>
      <c r="I996" s="926">
        <v>100</v>
      </c>
      <c r="J996" s="830"/>
      <c r="K996" s="830"/>
      <c r="L996" s="830"/>
      <c r="M996" s="830"/>
      <c r="N996" s="830"/>
      <c r="O996" s="830"/>
      <c r="P996" s="830"/>
      <c r="Q996" s="925">
        <f t="shared" si="14"/>
        <v>100</v>
      </c>
      <c r="R996" s="833" t="s">
        <v>4025</v>
      </c>
      <c r="S996" s="834"/>
      <c r="T996" s="865"/>
      <c r="U996" s="865"/>
      <c r="V996" s="865"/>
      <c r="W996" s="865"/>
      <c r="X996" s="865"/>
      <c r="Y996" s="865"/>
      <c r="Z996" s="865"/>
      <c r="AA996" s="865"/>
      <c r="AB996" s="865"/>
      <c r="AC996" s="865"/>
      <c r="AD996" s="865"/>
      <c r="AE996" s="865"/>
      <c r="AF996" s="835"/>
    </row>
    <row r="997" spans="1:32" ht="42">
      <c r="A997" s="827">
        <v>964</v>
      </c>
      <c r="B997" s="828" t="s">
        <v>464</v>
      </c>
      <c r="C997" s="854">
        <v>9105406</v>
      </c>
      <c r="D997" s="855" t="s">
        <v>504</v>
      </c>
      <c r="E997" s="830"/>
      <c r="F997" s="830"/>
      <c r="G997" s="830"/>
      <c r="H997" s="830"/>
      <c r="I997" s="926">
        <v>5000</v>
      </c>
      <c r="J997" s="830"/>
      <c r="K997" s="830"/>
      <c r="L997" s="830"/>
      <c r="M997" s="830"/>
      <c r="N997" s="830"/>
      <c r="O997" s="830"/>
      <c r="P997" s="830"/>
      <c r="Q997" s="925">
        <f t="shared" si="14"/>
        <v>5000</v>
      </c>
      <c r="R997" s="833" t="s">
        <v>4025</v>
      </c>
      <c r="S997" s="834"/>
      <c r="T997" s="850"/>
      <c r="U997" s="850"/>
      <c r="V997" s="850"/>
      <c r="W997" s="850"/>
      <c r="X997" s="850"/>
      <c r="Y997" s="850"/>
      <c r="Z997" s="850"/>
      <c r="AA997" s="850"/>
      <c r="AB997" s="850"/>
      <c r="AC997" s="850"/>
      <c r="AD997" s="850"/>
      <c r="AE997" s="850"/>
      <c r="AF997" s="835"/>
    </row>
    <row r="998" spans="1:32" ht="84">
      <c r="A998" s="827">
        <v>965</v>
      </c>
      <c r="B998" s="828" t="s">
        <v>464</v>
      </c>
      <c r="C998" s="854">
        <v>9105408</v>
      </c>
      <c r="D998" s="855" t="s">
        <v>505</v>
      </c>
      <c r="E998" s="830"/>
      <c r="F998" s="830"/>
      <c r="G998" s="830"/>
      <c r="H998" s="830"/>
      <c r="I998" s="926">
        <v>40</v>
      </c>
      <c r="J998" s="830"/>
      <c r="K998" s="830"/>
      <c r="L998" s="830"/>
      <c r="M998" s="830"/>
      <c r="N998" s="830"/>
      <c r="O998" s="830"/>
      <c r="P998" s="830"/>
      <c r="Q998" s="925">
        <f t="shared" si="14"/>
        <v>40</v>
      </c>
      <c r="R998" s="833" t="s">
        <v>4025</v>
      </c>
      <c r="S998" s="859"/>
      <c r="T998" s="859"/>
      <c r="U998" s="859"/>
      <c r="V998" s="859"/>
      <c r="W998" s="859"/>
      <c r="X998" s="859"/>
      <c r="Y998" s="859"/>
      <c r="Z998" s="859"/>
      <c r="AA998" s="859"/>
      <c r="AB998" s="859"/>
      <c r="AC998" s="859"/>
      <c r="AD998" s="859"/>
      <c r="AE998" s="859"/>
      <c r="AF998" s="859"/>
    </row>
    <row r="999" spans="1:32" ht="42">
      <c r="A999" s="827">
        <v>966</v>
      </c>
      <c r="B999" s="828" t="s">
        <v>464</v>
      </c>
      <c r="C999" s="854">
        <v>9105409</v>
      </c>
      <c r="D999" s="855" t="s">
        <v>506</v>
      </c>
      <c r="E999" s="830"/>
      <c r="F999" s="830"/>
      <c r="G999" s="830"/>
      <c r="H999" s="830"/>
      <c r="I999" s="926">
        <v>50</v>
      </c>
      <c r="J999" s="830"/>
      <c r="K999" s="830"/>
      <c r="L999" s="830"/>
      <c r="M999" s="830"/>
      <c r="N999" s="830"/>
      <c r="O999" s="830"/>
      <c r="P999" s="830"/>
      <c r="Q999" s="925">
        <f t="shared" si="14"/>
        <v>50</v>
      </c>
      <c r="R999" s="833" t="s">
        <v>4025</v>
      </c>
      <c r="S999" s="834"/>
      <c r="T999" s="850"/>
      <c r="U999" s="850"/>
      <c r="V999" s="850"/>
      <c r="W999" s="850"/>
      <c r="X999" s="850"/>
      <c r="Y999" s="850"/>
      <c r="Z999" s="850"/>
      <c r="AA999" s="850"/>
      <c r="AB999" s="850"/>
      <c r="AC999" s="850"/>
      <c r="AD999" s="850"/>
      <c r="AE999" s="850"/>
      <c r="AF999" s="835"/>
    </row>
    <row r="1000" spans="1:32" ht="84">
      <c r="A1000" s="827">
        <v>967</v>
      </c>
      <c r="B1000" s="828" t="s">
        <v>464</v>
      </c>
      <c r="C1000" s="854">
        <v>9105410</v>
      </c>
      <c r="D1000" s="855" t="s">
        <v>507</v>
      </c>
      <c r="E1000" s="830"/>
      <c r="F1000" s="830"/>
      <c r="G1000" s="830"/>
      <c r="H1000" s="830"/>
      <c r="I1000" s="926">
        <v>100</v>
      </c>
      <c r="J1000" s="830"/>
      <c r="K1000" s="830"/>
      <c r="L1000" s="830"/>
      <c r="M1000" s="830"/>
      <c r="N1000" s="830"/>
      <c r="O1000" s="830"/>
      <c r="P1000" s="830"/>
      <c r="Q1000" s="925">
        <f t="shared" si="14"/>
        <v>100</v>
      </c>
      <c r="R1000" s="833" t="s">
        <v>4025</v>
      </c>
      <c r="S1000" s="834"/>
      <c r="T1000" s="865"/>
      <c r="U1000" s="865"/>
      <c r="V1000" s="865"/>
      <c r="W1000" s="865"/>
      <c r="X1000" s="865"/>
      <c r="Y1000" s="865"/>
      <c r="Z1000" s="865"/>
      <c r="AA1000" s="865"/>
      <c r="AB1000" s="865"/>
      <c r="AC1000" s="865"/>
      <c r="AD1000" s="865"/>
      <c r="AE1000" s="865"/>
      <c r="AF1000" s="835"/>
    </row>
    <row r="1001" spans="1:32" ht="84">
      <c r="A1001" s="827">
        <v>968</v>
      </c>
      <c r="B1001" s="828" t="s">
        <v>464</v>
      </c>
      <c r="C1001" s="854">
        <v>9105411</v>
      </c>
      <c r="D1001" s="855" t="s">
        <v>508</v>
      </c>
      <c r="E1001" s="830"/>
      <c r="F1001" s="830"/>
      <c r="G1001" s="830"/>
      <c r="H1001" s="830"/>
      <c r="I1001" s="926">
        <v>100</v>
      </c>
      <c r="J1001" s="830"/>
      <c r="K1001" s="830"/>
      <c r="L1001" s="830"/>
      <c r="M1001" s="830"/>
      <c r="N1001" s="830"/>
      <c r="O1001" s="830"/>
      <c r="P1001" s="830"/>
      <c r="Q1001" s="925">
        <f t="shared" si="14"/>
        <v>100</v>
      </c>
      <c r="R1001" s="833" t="s">
        <v>4025</v>
      </c>
      <c r="S1001" s="834"/>
      <c r="T1001" s="865"/>
      <c r="U1001" s="865"/>
      <c r="V1001" s="865"/>
      <c r="W1001" s="865"/>
      <c r="X1001" s="865"/>
      <c r="Y1001" s="865"/>
      <c r="Z1001" s="865"/>
      <c r="AA1001" s="865"/>
      <c r="AB1001" s="865"/>
      <c r="AC1001" s="865"/>
      <c r="AD1001" s="865"/>
      <c r="AE1001" s="865"/>
      <c r="AF1001" s="835"/>
    </row>
    <row r="1002" spans="1:32" ht="42">
      <c r="A1002" s="827">
        <v>969</v>
      </c>
      <c r="B1002" s="828" t="s">
        <v>464</v>
      </c>
      <c r="C1002" s="854">
        <v>9105412</v>
      </c>
      <c r="D1002" s="855" t="s">
        <v>509</v>
      </c>
      <c r="E1002" s="830"/>
      <c r="F1002" s="830"/>
      <c r="G1002" s="830"/>
      <c r="H1002" s="830"/>
      <c r="I1002" s="926">
        <v>50</v>
      </c>
      <c r="J1002" s="830"/>
      <c r="K1002" s="830"/>
      <c r="L1002" s="830"/>
      <c r="M1002" s="830"/>
      <c r="N1002" s="830"/>
      <c r="O1002" s="830"/>
      <c r="P1002" s="830"/>
      <c r="Q1002" s="925">
        <f t="shared" si="14"/>
        <v>50</v>
      </c>
      <c r="R1002" s="833" t="s">
        <v>4025</v>
      </c>
      <c r="S1002" s="834"/>
      <c r="T1002" s="865"/>
      <c r="U1002" s="865"/>
      <c r="V1002" s="865"/>
      <c r="W1002" s="865"/>
      <c r="X1002" s="865"/>
      <c r="Y1002" s="865"/>
      <c r="Z1002" s="865"/>
      <c r="AA1002" s="865"/>
      <c r="AB1002" s="865"/>
      <c r="AC1002" s="865"/>
      <c r="AD1002" s="865"/>
      <c r="AE1002" s="865"/>
      <c r="AF1002" s="835"/>
    </row>
    <row r="1003" spans="1:32" ht="42">
      <c r="A1003" s="827">
        <v>970</v>
      </c>
      <c r="B1003" s="828" t="s">
        <v>464</v>
      </c>
      <c r="C1003" s="854">
        <v>9105413</v>
      </c>
      <c r="D1003" s="855" t="s">
        <v>510</v>
      </c>
      <c r="E1003" s="830"/>
      <c r="F1003" s="830"/>
      <c r="G1003" s="830"/>
      <c r="H1003" s="830"/>
      <c r="I1003" s="926">
        <v>100</v>
      </c>
      <c r="J1003" s="830"/>
      <c r="K1003" s="830"/>
      <c r="L1003" s="830"/>
      <c r="M1003" s="830"/>
      <c r="N1003" s="830"/>
      <c r="O1003" s="830"/>
      <c r="P1003" s="830"/>
      <c r="Q1003" s="925">
        <f t="shared" si="14"/>
        <v>100</v>
      </c>
      <c r="R1003" s="833" t="s">
        <v>4025</v>
      </c>
      <c r="S1003" s="834"/>
      <c r="T1003" s="877"/>
      <c r="U1003" s="877"/>
      <c r="V1003" s="877"/>
      <c r="W1003" s="877"/>
      <c r="X1003" s="877"/>
      <c r="Y1003" s="877"/>
      <c r="Z1003" s="877"/>
      <c r="AA1003" s="877"/>
      <c r="AB1003" s="877"/>
      <c r="AC1003" s="877"/>
      <c r="AD1003" s="877"/>
      <c r="AE1003" s="877"/>
      <c r="AF1003" s="835"/>
    </row>
    <row r="1004" spans="1:32" ht="42">
      <c r="A1004" s="827">
        <v>971</v>
      </c>
      <c r="B1004" s="828" t="s">
        <v>464</v>
      </c>
      <c r="C1004" s="854">
        <v>9105414</v>
      </c>
      <c r="D1004" s="855" t="s">
        <v>511</v>
      </c>
      <c r="E1004" s="830"/>
      <c r="F1004" s="830"/>
      <c r="G1004" s="830"/>
      <c r="H1004" s="830"/>
      <c r="I1004" s="926">
        <v>50</v>
      </c>
      <c r="J1004" s="830"/>
      <c r="K1004" s="830"/>
      <c r="L1004" s="830"/>
      <c r="M1004" s="830"/>
      <c r="N1004" s="830"/>
      <c r="O1004" s="830"/>
      <c r="P1004" s="830"/>
      <c r="Q1004" s="925">
        <f t="shared" si="14"/>
        <v>50</v>
      </c>
      <c r="R1004" s="833" t="s">
        <v>4025</v>
      </c>
      <c r="S1004" s="834"/>
      <c r="T1004" s="859"/>
      <c r="U1004" s="859"/>
      <c r="V1004" s="859"/>
      <c r="W1004" s="859"/>
      <c r="X1004" s="859"/>
      <c r="Y1004" s="865"/>
      <c r="Z1004" s="859"/>
      <c r="AA1004" s="859"/>
      <c r="AB1004" s="859"/>
      <c r="AC1004" s="859"/>
      <c r="AD1004" s="859"/>
      <c r="AE1004" s="859"/>
      <c r="AF1004" s="835"/>
    </row>
    <row r="1005" spans="1:32" ht="63">
      <c r="A1005" s="827">
        <v>972</v>
      </c>
      <c r="B1005" s="828" t="s">
        <v>464</v>
      </c>
      <c r="C1005" s="854">
        <v>9105415</v>
      </c>
      <c r="D1005" s="855" t="s">
        <v>512</v>
      </c>
      <c r="E1005" s="830"/>
      <c r="F1005" s="830"/>
      <c r="G1005" s="830"/>
      <c r="H1005" s="830"/>
      <c r="I1005" s="926">
        <v>40</v>
      </c>
      <c r="J1005" s="830"/>
      <c r="K1005" s="830"/>
      <c r="L1005" s="830"/>
      <c r="M1005" s="830"/>
      <c r="N1005" s="830"/>
      <c r="O1005" s="830"/>
      <c r="P1005" s="830"/>
      <c r="Q1005" s="925">
        <f t="shared" si="14"/>
        <v>40</v>
      </c>
      <c r="R1005" s="833" t="s">
        <v>4025</v>
      </c>
      <c r="S1005" s="834"/>
      <c r="T1005" s="859"/>
      <c r="U1005" s="859"/>
      <c r="V1005" s="859"/>
      <c r="W1005" s="859"/>
      <c r="X1005" s="859"/>
      <c r="Y1005" s="859"/>
      <c r="Z1005" s="865"/>
      <c r="AA1005" s="859"/>
      <c r="AB1005" s="859"/>
      <c r="AC1005" s="859"/>
      <c r="AD1005" s="859"/>
      <c r="AE1005" s="859"/>
      <c r="AF1005" s="835"/>
    </row>
    <row r="1006" spans="1:32" ht="63">
      <c r="A1006" s="827">
        <v>973</v>
      </c>
      <c r="B1006" s="828" t="s">
        <v>464</v>
      </c>
      <c r="C1006" s="854">
        <v>9105416</v>
      </c>
      <c r="D1006" s="855" t="s">
        <v>513</v>
      </c>
      <c r="E1006" s="830"/>
      <c r="F1006" s="830"/>
      <c r="G1006" s="830"/>
      <c r="H1006" s="830"/>
      <c r="I1006" s="926">
        <v>200</v>
      </c>
      <c r="J1006" s="830"/>
      <c r="K1006" s="830"/>
      <c r="L1006" s="830"/>
      <c r="M1006" s="830"/>
      <c r="N1006" s="830"/>
      <c r="O1006" s="830"/>
      <c r="P1006" s="830"/>
      <c r="Q1006" s="925">
        <f t="shared" si="14"/>
        <v>200</v>
      </c>
      <c r="R1006" s="833" t="s">
        <v>4025</v>
      </c>
      <c r="S1006" s="834"/>
      <c r="T1006" s="859"/>
      <c r="U1006" s="859"/>
      <c r="V1006" s="865"/>
      <c r="W1006" s="859"/>
      <c r="X1006" s="859"/>
      <c r="Y1006" s="859"/>
      <c r="Z1006" s="859"/>
      <c r="AA1006" s="859"/>
      <c r="AB1006" s="859"/>
      <c r="AC1006" s="859"/>
      <c r="AD1006" s="859"/>
      <c r="AE1006" s="859"/>
      <c r="AF1006" s="835"/>
    </row>
    <row r="1007" spans="1:32" ht="63">
      <c r="A1007" s="827">
        <v>974</v>
      </c>
      <c r="B1007" s="828" t="s">
        <v>464</v>
      </c>
      <c r="C1007" s="854">
        <v>9105417</v>
      </c>
      <c r="D1007" s="855" t="s">
        <v>514</v>
      </c>
      <c r="E1007" s="830"/>
      <c r="F1007" s="830"/>
      <c r="G1007" s="830"/>
      <c r="H1007" s="830"/>
      <c r="I1007" s="926">
        <v>200</v>
      </c>
      <c r="J1007" s="830"/>
      <c r="K1007" s="830"/>
      <c r="L1007" s="830"/>
      <c r="M1007" s="830"/>
      <c r="N1007" s="830"/>
      <c r="O1007" s="830"/>
      <c r="P1007" s="830"/>
      <c r="Q1007" s="925">
        <f t="shared" si="14"/>
        <v>200</v>
      </c>
      <c r="R1007" s="833" t="s">
        <v>4025</v>
      </c>
      <c r="S1007" s="859"/>
      <c r="T1007" s="859"/>
      <c r="U1007" s="859"/>
      <c r="V1007" s="859"/>
      <c r="W1007" s="859"/>
      <c r="X1007" s="859"/>
      <c r="Y1007" s="859"/>
      <c r="Z1007" s="859"/>
      <c r="AA1007" s="859"/>
      <c r="AB1007" s="859"/>
      <c r="AC1007" s="859"/>
      <c r="AD1007" s="859"/>
      <c r="AE1007" s="859"/>
      <c r="AF1007" s="859"/>
    </row>
    <row r="1008" spans="1:32" ht="73.5">
      <c r="A1008" s="827">
        <v>975</v>
      </c>
      <c r="B1008" s="828" t="s">
        <v>464</v>
      </c>
      <c r="C1008" s="854">
        <v>9105418</v>
      </c>
      <c r="D1008" s="855" t="s">
        <v>515</v>
      </c>
      <c r="E1008" s="830"/>
      <c r="F1008" s="830"/>
      <c r="G1008" s="830"/>
      <c r="H1008" s="830"/>
      <c r="I1008" s="926">
        <v>100</v>
      </c>
      <c r="J1008" s="830"/>
      <c r="K1008" s="830"/>
      <c r="L1008" s="830"/>
      <c r="M1008" s="830"/>
      <c r="N1008" s="830"/>
      <c r="O1008" s="830"/>
      <c r="P1008" s="830"/>
      <c r="Q1008" s="925">
        <f t="shared" si="14"/>
        <v>100</v>
      </c>
      <c r="R1008" s="833" t="s">
        <v>4025</v>
      </c>
      <c r="S1008" s="834"/>
      <c r="T1008" s="877"/>
      <c r="U1008" s="877"/>
      <c r="V1008" s="877"/>
      <c r="W1008" s="877"/>
      <c r="X1008" s="877"/>
      <c r="Y1008" s="877"/>
      <c r="Z1008" s="877"/>
      <c r="AA1008" s="877"/>
      <c r="AB1008" s="877"/>
      <c r="AC1008" s="877"/>
      <c r="AD1008" s="877"/>
      <c r="AE1008" s="877"/>
      <c r="AF1008" s="835"/>
    </row>
    <row r="1009" spans="1:32" ht="42">
      <c r="A1009" s="827">
        <v>976</v>
      </c>
      <c r="B1009" s="828" t="s">
        <v>464</v>
      </c>
      <c r="C1009" s="854">
        <v>9105419</v>
      </c>
      <c r="D1009" s="855" t="s">
        <v>516</v>
      </c>
      <c r="E1009" s="830"/>
      <c r="F1009" s="830"/>
      <c r="G1009" s="830"/>
      <c r="H1009" s="830"/>
      <c r="I1009" s="926">
        <v>50</v>
      </c>
      <c r="J1009" s="830"/>
      <c r="K1009" s="830"/>
      <c r="L1009" s="830"/>
      <c r="M1009" s="830"/>
      <c r="N1009" s="830"/>
      <c r="O1009" s="830"/>
      <c r="P1009" s="830"/>
      <c r="Q1009" s="925">
        <f t="shared" si="14"/>
        <v>50</v>
      </c>
      <c r="R1009" s="833" t="s">
        <v>4025</v>
      </c>
      <c r="S1009" s="859"/>
      <c r="T1009" s="859"/>
      <c r="U1009" s="859"/>
      <c r="V1009" s="859"/>
      <c r="W1009" s="859"/>
      <c r="X1009" s="859"/>
      <c r="Y1009" s="859"/>
      <c r="Z1009" s="859"/>
      <c r="AA1009" s="859"/>
      <c r="AB1009" s="859"/>
      <c r="AC1009" s="859"/>
      <c r="AD1009" s="859"/>
      <c r="AE1009" s="859"/>
      <c r="AF1009" s="859"/>
    </row>
    <row r="1010" spans="1:32" ht="84">
      <c r="A1010" s="827">
        <v>977</v>
      </c>
      <c r="B1010" s="828" t="s">
        <v>464</v>
      </c>
      <c r="C1010" s="854">
        <v>9105420</v>
      </c>
      <c r="D1010" s="855" t="s">
        <v>517</v>
      </c>
      <c r="E1010" s="830"/>
      <c r="F1010" s="830"/>
      <c r="G1010" s="830"/>
      <c r="H1010" s="830"/>
      <c r="I1010" s="926">
        <v>100</v>
      </c>
      <c r="J1010" s="830"/>
      <c r="K1010" s="830"/>
      <c r="L1010" s="830"/>
      <c r="M1010" s="830"/>
      <c r="N1010" s="830"/>
      <c r="O1010" s="830"/>
      <c r="P1010" s="830"/>
      <c r="Q1010" s="925">
        <f t="shared" si="14"/>
        <v>100</v>
      </c>
      <c r="R1010" s="833" t="s">
        <v>4025</v>
      </c>
      <c r="S1010" s="859"/>
      <c r="T1010" s="859"/>
      <c r="U1010" s="859"/>
      <c r="V1010" s="859"/>
      <c r="W1010" s="859"/>
      <c r="X1010" s="859"/>
      <c r="Y1010" s="859"/>
      <c r="Z1010" s="859"/>
      <c r="AA1010" s="859"/>
      <c r="AB1010" s="859"/>
      <c r="AC1010" s="859"/>
      <c r="AD1010" s="859"/>
      <c r="AE1010" s="859"/>
      <c r="AF1010" s="859"/>
    </row>
    <row r="1011" spans="1:32" ht="63">
      <c r="A1011" s="827">
        <v>978</v>
      </c>
      <c r="B1011" s="828" t="s">
        <v>464</v>
      </c>
      <c r="C1011" s="927">
        <v>9105421</v>
      </c>
      <c r="D1011" s="855" t="s">
        <v>518</v>
      </c>
      <c r="E1011" s="830"/>
      <c r="F1011" s="830"/>
      <c r="G1011" s="830"/>
      <c r="H1011" s="830"/>
      <c r="I1011" s="928">
        <v>500</v>
      </c>
      <c r="J1011" s="830"/>
      <c r="K1011" s="830"/>
      <c r="L1011" s="830"/>
      <c r="M1011" s="830"/>
      <c r="N1011" s="830"/>
      <c r="O1011" s="830"/>
      <c r="P1011" s="830"/>
      <c r="Q1011" s="925">
        <f t="shared" si="14"/>
        <v>500</v>
      </c>
      <c r="R1011" s="833" t="s">
        <v>4025</v>
      </c>
      <c r="S1011" s="859"/>
      <c r="T1011" s="859"/>
      <c r="U1011" s="859"/>
      <c r="V1011" s="859"/>
      <c r="W1011" s="859"/>
      <c r="X1011" s="859"/>
      <c r="Y1011" s="859"/>
      <c r="Z1011" s="859"/>
      <c r="AA1011" s="859"/>
      <c r="AB1011" s="859"/>
      <c r="AC1011" s="859"/>
      <c r="AD1011" s="859"/>
      <c r="AE1011" s="859"/>
      <c r="AF1011" s="859"/>
    </row>
    <row r="1012" spans="1:32" ht="63.75">
      <c r="A1012" s="827">
        <v>979</v>
      </c>
      <c r="B1012" s="828" t="s">
        <v>464</v>
      </c>
      <c r="C1012" s="929">
        <v>9105422</v>
      </c>
      <c r="D1012" s="857" t="s">
        <v>519</v>
      </c>
      <c r="E1012" s="830"/>
      <c r="F1012" s="830"/>
      <c r="G1012" s="830"/>
      <c r="H1012" s="830"/>
      <c r="I1012" s="928">
        <v>500</v>
      </c>
      <c r="J1012" s="830"/>
      <c r="K1012" s="830"/>
      <c r="L1012" s="830"/>
      <c r="M1012" s="830"/>
      <c r="N1012" s="830"/>
      <c r="O1012" s="830"/>
      <c r="P1012" s="830"/>
      <c r="Q1012" s="925">
        <f t="shared" si="14"/>
        <v>500</v>
      </c>
      <c r="R1012" s="833" t="s">
        <v>4025</v>
      </c>
      <c r="S1012" s="859"/>
      <c r="T1012" s="859"/>
      <c r="U1012" s="859"/>
      <c r="V1012" s="859"/>
      <c r="W1012" s="859"/>
      <c r="X1012" s="859"/>
      <c r="Y1012" s="859"/>
      <c r="Z1012" s="859"/>
      <c r="AA1012" s="859"/>
      <c r="AB1012" s="859"/>
      <c r="AC1012" s="859"/>
      <c r="AD1012" s="859"/>
      <c r="AE1012" s="859"/>
      <c r="AF1012" s="859"/>
    </row>
    <row r="1013" spans="1:32" ht="53.25">
      <c r="A1013" s="827">
        <v>980</v>
      </c>
      <c r="B1013" s="828" t="s">
        <v>464</v>
      </c>
      <c r="C1013" s="929">
        <v>9105423</v>
      </c>
      <c r="D1013" s="857" t="s">
        <v>520</v>
      </c>
      <c r="E1013" s="830"/>
      <c r="F1013" s="830"/>
      <c r="G1013" s="830"/>
      <c r="H1013" s="830"/>
      <c r="I1013" s="928">
        <v>3600</v>
      </c>
      <c r="J1013" s="830"/>
      <c r="K1013" s="830"/>
      <c r="L1013" s="830"/>
      <c r="M1013" s="830"/>
      <c r="N1013" s="830"/>
      <c r="O1013" s="830"/>
      <c r="P1013" s="830"/>
      <c r="Q1013" s="925">
        <f t="shared" si="14"/>
        <v>3600</v>
      </c>
      <c r="R1013" s="833" t="s">
        <v>4025</v>
      </c>
      <c r="S1013" s="859"/>
      <c r="T1013" s="859"/>
      <c r="U1013" s="859"/>
      <c r="V1013" s="859"/>
      <c r="W1013" s="859"/>
      <c r="X1013" s="859"/>
      <c r="Y1013" s="859"/>
      <c r="Z1013" s="859"/>
      <c r="AA1013" s="859"/>
      <c r="AB1013" s="859"/>
      <c r="AC1013" s="859"/>
      <c r="AD1013" s="859"/>
      <c r="AE1013" s="859"/>
      <c r="AF1013" s="859"/>
    </row>
    <row r="1014" spans="1:32" ht="53.25">
      <c r="A1014" s="827">
        <v>981</v>
      </c>
      <c r="B1014" s="828" t="s">
        <v>464</v>
      </c>
      <c r="C1014" s="929">
        <v>9105424</v>
      </c>
      <c r="D1014" s="857" t="s">
        <v>521</v>
      </c>
      <c r="E1014" s="830"/>
      <c r="F1014" s="830"/>
      <c r="G1014" s="830"/>
      <c r="H1014" s="830"/>
      <c r="I1014" s="928">
        <v>500</v>
      </c>
      <c r="J1014" s="830"/>
      <c r="K1014" s="830"/>
      <c r="L1014" s="830"/>
      <c r="M1014" s="830"/>
      <c r="N1014" s="830"/>
      <c r="O1014" s="830"/>
      <c r="P1014" s="830"/>
      <c r="Q1014" s="925">
        <f t="shared" si="14"/>
        <v>500</v>
      </c>
      <c r="R1014" s="833" t="s">
        <v>4025</v>
      </c>
      <c r="S1014" s="859"/>
      <c r="T1014" s="859"/>
      <c r="U1014" s="859"/>
      <c r="V1014" s="859"/>
      <c r="W1014" s="859"/>
      <c r="X1014" s="859"/>
      <c r="Y1014" s="859"/>
      <c r="Z1014" s="859"/>
      <c r="AA1014" s="859"/>
      <c r="AB1014" s="859"/>
      <c r="AC1014" s="859"/>
      <c r="AD1014" s="859"/>
      <c r="AE1014" s="859"/>
      <c r="AF1014" s="859"/>
    </row>
    <row r="1015" spans="1:32" ht="63.75">
      <c r="A1015" s="827">
        <v>982</v>
      </c>
      <c r="B1015" s="828" t="s">
        <v>464</v>
      </c>
      <c r="C1015" s="929">
        <v>9105425</v>
      </c>
      <c r="D1015" s="857" t="s">
        <v>522</v>
      </c>
      <c r="E1015" s="830"/>
      <c r="F1015" s="830"/>
      <c r="G1015" s="830"/>
      <c r="H1015" s="830"/>
      <c r="I1015" s="928">
        <v>50</v>
      </c>
      <c r="J1015" s="830"/>
      <c r="K1015" s="830"/>
      <c r="L1015" s="830"/>
      <c r="M1015" s="830"/>
      <c r="N1015" s="830"/>
      <c r="O1015" s="830"/>
      <c r="P1015" s="830"/>
      <c r="Q1015" s="925">
        <f t="shared" si="14"/>
        <v>50</v>
      </c>
      <c r="R1015" s="833" t="s">
        <v>4025</v>
      </c>
      <c r="S1015" s="859"/>
      <c r="T1015" s="859"/>
      <c r="U1015" s="859"/>
      <c r="V1015" s="859"/>
      <c r="W1015" s="859"/>
      <c r="X1015" s="859"/>
      <c r="Y1015" s="859"/>
      <c r="Z1015" s="859"/>
      <c r="AA1015" s="859"/>
      <c r="AB1015" s="859"/>
      <c r="AC1015" s="859"/>
      <c r="AD1015" s="859"/>
      <c r="AE1015" s="859"/>
      <c r="AF1015" s="859"/>
    </row>
    <row r="1016" spans="1:32" ht="32.25">
      <c r="A1016" s="827">
        <v>983</v>
      </c>
      <c r="B1016" s="828" t="s">
        <v>464</v>
      </c>
      <c r="C1016" s="929">
        <v>9105426</v>
      </c>
      <c r="D1016" s="857" t="s">
        <v>523</v>
      </c>
      <c r="E1016" s="830"/>
      <c r="F1016" s="830"/>
      <c r="G1016" s="830"/>
      <c r="H1016" s="830"/>
      <c r="I1016" s="928">
        <v>3600</v>
      </c>
      <c r="J1016" s="830"/>
      <c r="K1016" s="830"/>
      <c r="L1016" s="830"/>
      <c r="M1016" s="830"/>
      <c r="N1016" s="830"/>
      <c r="O1016" s="830"/>
      <c r="P1016" s="830"/>
      <c r="Q1016" s="925">
        <f t="shared" si="14"/>
        <v>3600</v>
      </c>
      <c r="R1016" s="833" t="s">
        <v>4025</v>
      </c>
      <c r="S1016" s="859"/>
      <c r="T1016" s="859"/>
      <c r="U1016" s="859"/>
      <c r="V1016" s="859"/>
      <c r="W1016" s="859"/>
      <c r="X1016" s="859"/>
      <c r="Y1016" s="859"/>
      <c r="Z1016" s="859"/>
      <c r="AA1016" s="859"/>
      <c r="AB1016" s="859"/>
      <c r="AC1016" s="859"/>
      <c r="AD1016" s="859"/>
      <c r="AE1016" s="859"/>
      <c r="AF1016" s="859"/>
    </row>
    <row r="1017" spans="1:32" ht="63.75">
      <c r="A1017" s="827">
        <v>984</v>
      </c>
      <c r="B1017" s="828" t="s">
        <v>464</v>
      </c>
      <c r="C1017" s="929">
        <v>9104018</v>
      </c>
      <c r="D1017" s="857" t="s">
        <v>524</v>
      </c>
      <c r="E1017" s="830"/>
      <c r="F1017" s="830"/>
      <c r="G1017" s="830"/>
      <c r="H1017" s="830"/>
      <c r="I1017" s="928">
        <v>3500</v>
      </c>
      <c r="J1017" s="830"/>
      <c r="K1017" s="830"/>
      <c r="L1017" s="830"/>
      <c r="M1017" s="830"/>
      <c r="N1017" s="830"/>
      <c r="O1017" s="830"/>
      <c r="P1017" s="830"/>
      <c r="Q1017" s="925">
        <f t="shared" si="14"/>
        <v>3500</v>
      </c>
      <c r="R1017" s="833" t="s">
        <v>4025</v>
      </c>
      <c r="S1017" s="859"/>
      <c r="T1017" s="859"/>
      <c r="U1017" s="859"/>
      <c r="V1017" s="859"/>
      <c r="W1017" s="859"/>
      <c r="X1017" s="859"/>
      <c r="Y1017" s="859"/>
      <c r="Z1017" s="859"/>
      <c r="AA1017" s="859"/>
      <c r="AB1017" s="859"/>
      <c r="AC1017" s="859"/>
      <c r="AD1017" s="859"/>
      <c r="AE1017" s="859"/>
      <c r="AF1017" s="859"/>
    </row>
    <row r="1018" spans="1:32" ht="63.75">
      <c r="A1018" s="827">
        <v>985</v>
      </c>
      <c r="B1018" s="828" t="s">
        <v>464</v>
      </c>
      <c r="C1018" s="929">
        <v>9105427</v>
      </c>
      <c r="D1018" s="857" t="s">
        <v>525</v>
      </c>
      <c r="E1018" s="830"/>
      <c r="F1018" s="830"/>
      <c r="G1018" s="830"/>
      <c r="H1018" s="830"/>
      <c r="I1018" s="928">
        <v>1000</v>
      </c>
      <c r="J1018" s="830"/>
      <c r="K1018" s="830"/>
      <c r="L1018" s="830"/>
      <c r="M1018" s="830"/>
      <c r="N1018" s="830"/>
      <c r="O1018" s="830"/>
      <c r="P1018" s="830"/>
      <c r="Q1018" s="925">
        <f t="shared" si="14"/>
        <v>1000</v>
      </c>
      <c r="R1018" s="833" t="s">
        <v>4025</v>
      </c>
      <c r="S1018" s="859"/>
      <c r="T1018" s="859"/>
      <c r="U1018" s="859"/>
      <c r="V1018" s="859"/>
      <c r="W1018" s="859"/>
      <c r="X1018" s="859"/>
      <c r="Y1018" s="859"/>
      <c r="Z1018" s="859"/>
      <c r="AA1018" s="859"/>
      <c r="AB1018" s="859"/>
      <c r="AC1018" s="859"/>
      <c r="AD1018" s="859"/>
      <c r="AE1018" s="859"/>
      <c r="AF1018" s="859"/>
    </row>
    <row r="1019" spans="1:32" ht="42.75">
      <c r="A1019" s="827">
        <v>986</v>
      </c>
      <c r="B1019" s="828" t="s">
        <v>464</v>
      </c>
      <c r="C1019" s="929">
        <v>9105407</v>
      </c>
      <c r="D1019" s="857" t="s">
        <v>526</v>
      </c>
      <c r="E1019" s="830"/>
      <c r="F1019" s="830"/>
      <c r="G1019" s="830"/>
      <c r="H1019" s="830"/>
      <c r="I1019" s="930">
        <v>60</v>
      </c>
      <c r="J1019" s="830"/>
      <c r="K1019" s="830"/>
      <c r="L1019" s="830"/>
      <c r="M1019" s="830"/>
      <c r="N1019" s="830"/>
      <c r="O1019" s="830"/>
      <c r="P1019" s="830"/>
      <c r="Q1019" s="925">
        <f t="shared" si="14"/>
        <v>60</v>
      </c>
      <c r="R1019" s="833" t="s">
        <v>4025</v>
      </c>
      <c r="S1019" s="859"/>
      <c r="T1019" s="859"/>
      <c r="U1019" s="859"/>
      <c r="V1019" s="859"/>
      <c r="W1019" s="859"/>
      <c r="X1019" s="859"/>
      <c r="Y1019" s="859"/>
      <c r="Z1019" s="859"/>
      <c r="AA1019" s="859"/>
      <c r="AB1019" s="859"/>
      <c r="AC1019" s="859"/>
      <c r="AD1019" s="859"/>
      <c r="AE1019" s="859"/>
      <c r="AF1019" s="859"/>
    </row>
    <row r="1020" spans="1:32" ht="63">
      <c r="A1020" s="827">
        <v>987</v>
      </c>
      <c r="B1020" s="828" t="s">
        <v>464</v>
      </c>
      <c r="C1020" s="833">
        <v>9107421</v>
      </c>
      <c r="D1020" s="829" t="s">
        <v>527</v>
      </c>
      <c r="E1020" s="830"/>
      <c r="F1020" s="830"/>
      <c r="G1020" s="831">
        <v>10</v>
      </c>
      <c r="H1020" s="830"/>
      <c r="I1020" s="830"/>
      <c r="J1020" s="830"/>
      <c r="K1020" s="830"/>
      <c r="L1020" s="830"/>
      <c r="M1020" s="830"/>
      <c r="N1020" s="830"/>
      <c r="O1020" s="830"/>
      <c r="P1020" s="830"/>
      <c r="Q1020" s="925">
        <f t="shared" si="14"/>
        <v>10</v>
      </c>
      <c r="R1020" s="833" t="s">
        <v>4025</v>
      </c>
      <c r="S1020" s="859"/>
      <c r="T1020" s="859"/>
      <c r="U1020" s="859"/>
      <c r="V1020" s="859"/>
      <c r="W1020" s="859"/>
      <c r="X1020" s="859"/>
      <c r="Y1020" s="859"/>
      <c r="Z1020" s="859"/>
      <c r="AA1020" s="859"/>
      <c r="AB1020" s="859"/>
      <c r="AC1020" s="859"/>
      <c r="AD1020" s="859"/>
      <c r="AE1020" s="859"/>
      <c r="AF1020" s="859"/>
    </row>
    <row r="1021" spans="1:32" ht="42">
      <c r="A1021" s="827">
        <v>988</v>
      </c>
      <c r="B1021" s="828" t="s">
        <v>464</v>
      </c>
      <c r="C1021" s="833">
        <v>9107449</v>
      </c>
      <c r="D1021" s="829" t="s">
        <v>528</v>
      </c>
      <c r="E1021" s="830"/>
      <c r="F1021" s="830"/>
      <c r="G1021" s="831">
        <v>10</v>
      </c>
      <c r="H1021" s="830"/>
      <c r="I1021" s="830"/>
      <c r="J1021" s="830"/>
      <c r="K1021" s="830"/>
      <c r="L1021" s="830"/>
      <c r="M1021" s="830"/>
      <c r="N1021" s="830"/>
      <c r="O1021" s="830"/>
      <c r="P1021" s="830"/>
      <c r="Q1021" s="925">
        <f t="shared" si="14"/>
        <v>10</v>
      </c>
      <c r="R1021" s="833" t="s">
        <v>4025</v>
      </c>
      <c r="S1021" s="859"/>
      <c r="T1021" s="859"/>
      <c r="U1021" s="859"/>
      <c r="V1021" s="859"/>
      <c r="W1021" s="859"/>
      <c r="X1021" s="859"/>
      <c r="Y1021" s="859"/>
      <c r="Z1021" s="859"/>
      <c r="AA1021" s="859"/>
      <c r="AB1021" s="859"/>
      <c r="AC1021" s="859"/>
      <c r="AD1021" s="859"/>
      <c r="AE1021" s="859"/>
      <c r="AF1021" s="859"/>
    </row>
    <row r="1022" spans="1:32" ht="63">
      <c r="A1022" s="827">
        <v>989</v>
      </c>
      <c r="B1022" s="828" t="s">
        <v>464</v>
      </c>
      <c r="C1022" s="833">
        <v>9107422</v>
      </c>
      <c r="D1022" s="829" t="s">
        <v>529</v>
      </c>
      <c r="E1022" s="830"/>
      <c r="F1022" s="830"/>
      <c r="G1022" s="831">
        <v>10</v>
      </c>
      <c r="H1022" s="830"/>
      <c r="I1022" s="830"/>
      <c r="J1022" s="830"/>
      <c r="K1022" s="830"/>
      <c r="L1022" s="830"/>
      <c r="M1022" s="830"/>
      <c r="N1022" s="830"/>
      <c r="O1022" s="830"/>
      <c r="P1022" s="830"/>
      <c r="Q1022" s="925">
        <f t="shared" si="14"/>
        <v>10</v>
      </c>
      <c r="R1022" s="833" t="s">
        <v>4025</v>
      </c>
      <c r="S1022" s="859"/>
      <c r="T1022" s="859"/>
      <c r="U1022" s="859"/>
      <c r="V1022" s="859"/>
      <c r="W1022" s="859"/>
      <c r="X1022" s="859"/>
      <c r="Y1022" s="859"/>
      <c r="Z1022" s="859"/>
      <c r="AA1022" s="859"/>
      <c r="AB1022" s="859"/>
      <c r="AC1022" s="859"/>
      <c r="AD1022" s="859"/>
      <c r="AE1022" s="859"/>
      <c r="AF1022" s="859"/>
    </row>
    <row r="1023" spans="1:32" ht="73.5">
      <c r="A1023" s="827">
        <v>990</v>
      </c>
      <c r="B1023" s="828" t="s">
        <v>464</v>
      </c>
      <c r="C1023" s="833">
        <v>9107618</v>
      </c>
      <c r="D1023" s="829" t="s">
        <v>530</v>
      </c>
      <c r="E1023" s="830"/>
      <c r="F1023" s="830"/>
      <c r="G1023" s="830"/>
      <c r="H1023" s="831">
        <v>100</v>
      </c>
      <c r="I1023" s="830"/>
      <c r="J1023" s="830"/>
      <c r="K1023" s="830"/>
      <c r="L1023" s="830"/>
      <c r="M1023" s="830"/>
      <c r="N1023" s="830"/>
      <c r="O1023" s="830"/>
      <c r="P1023" s="830"/>
      <c r="Q1023" s="925">
        <f t="shared" si="14"/>
        <v>100</v>
      </c>
      <c r="R1023" s="833" t="s">
        <v>4025</v>
      </c>
      <c r="S1023" s="859"/>
      <c r="T1023" s="859"/>
      <c r="U1023" s="859"/>
      <c r="V1023" s="859"/>
      <c r="W1023" s="859"/>
      <c r="X1023" s="859"/>
      <c r="Y1023" s="859"/>
      <c r="Z1023" s="859"/>
      <c r="AA1023" s="859"/>
      <c r="AB1023" s="859"/>
      <c r="AC1023" s="859"/>
      <c r="AD1023" s="859"/>
      <c r="AE1023" s="859"/>
      <c r="AF1023" s="859"/>
    </row>
    <row r="1024" spans="1:32" ht="84">
      <c r="A1024" s="827">
        <v>991</v>
      </c>
      <c r="B1024" s="828" t="s">
        <v>464</v>
      </c>
      <c r="C1024" s="833">
        <v>9107619</v>
      </c>
      <c r="D1024" s="829" t="s">
        <v>531</v>
      </c>
      <c r="E1024" s="830"/>
      <c r="F1024" s="830"/>
      <c r="G1024" s="830"/>
      <c r="H1024" s="831">
        <v>100</v>
      </c>
      <c r="I1024" s="830"/>
      <c r="J1024" s="830"/>
      <c r="K1024" s="830"/>
      <c r="L1024" s="830"/>
      <c r="M1024" s="830"/>
      <c r="N1024" s="830"/>
      <c r="O1024" s="830"/>
      <c r="P1024" s="830"/>
      <c r="Q1024" s="925">
        <f t="shared" si="14"/>
        <v>100</v>
      </c>
      <c r="R1024" s="833" t="s">
        <v>4025</v>
      </c>
      <c r="S1024" s="859"/>
      <c r="T1024" s="859"/>
      <c r="U1024" s="859"/>
      <c r="V1024" s="859"/>
      <c r="W1024" s="859"/>
      <c r="X1024" s="859"/>
      <c r="Y1024" s="859"/>
      <c r="Z1024" s="859"/>
      <c r="AA1024" s="859"/>
      <c r="AB1024" s="859"/>
      <c r="AC1024" s="859"/>
      <c r="AD1024" s="859"/>
      <c r="AE1024" s="859"/>
      <c r="AF1024" s="859"/>
    </row>
    <row r="1025" spans="1:32" ht="63">
      <c r="A1025" s="827">
        <v>992</v>
      </c>
      <c r="B1025" s="828" t="s">
        <v>464</v>
      </c>
      <c r="C1025" s="833">
        <v>9107620</v>
      </c>
      <c r="D1025" s="829" t="s">
        <v>532</v>
      </c>
      <c r="E1025" s="830"/>
      <c r="F1025" s="830"/>
      <c r="G1025" s="830"/>
      <c r="H1025" s="831">
        <v>100</v>
      </c>
      <c r="I1025" s="830"/>
      <c r="J1025" s="830"/>
      <c r="K1025" s="830"/>
      <c r="L1025" s="830"/>
      <c r="M1025" s="830"/>
      <c r="N1025" s="830"/>
      <c r="O1025" s="830"/>
      <c r="P1025" s="830"/>
      <c r="Q1025" s="925">
        <f t="shared" si="14"/>
        <v>100</v>
      </c>
      <c r="R1025" s="833" t="s">
        <v>4025</v>
      </c>
      <c r="S1025" s="859"/>
      <c r="T1025" s="859"/>
      <c r="U1025" s="859"/>
      <c r="V1025" s="859"/>
      <c r="W1025" s="859"/>
      <c r="X1025" s="859"/>
      <c r="Y1025" s="859"/>
      <c r="Z1025" s="859"/>
      <c r="AA1025" s="859"/>
      <c r="AB1025" s="859"/>
      <c r="AC1025" s="859"/>
      <c r="AD1025" s="859"/>
      <c r="AE1025" s="859"/>
      <c r="AF1025" s="859"/>
    </row>
    <row r="1026" spans="1:32" ht="42">
      <c r="A1026" s="827">
        <v>993</v>
      </c>
      <c r="B1026" s="828" t="s">
        <v>464</v>
      </c>
      <c r="C1026" s="833" t="s">
        <v>533</v>
      </c>
      <c r="D1026" s="829" t="s">
        <v>534</v>
      </c>
      <c r="E1026" s="830" t="s">
        <v>4794</v>
      </c>
      <c r="F1026" s="830" t="s">
        <v>4794</v>
      </c>
      <c r="G1026" s="830" t="s">
        <v>4794</v>
      </c>
      <c r="H1026" s="830" t="s">
        <v>4794</v>
      </c>
      <c r="I1026" s="830" t="s">
        <v>4794</v>
      </c>
      <c r="J1026" s="831">
        <v>1</v>
      </c>
      <c r="K1026" s="830" t="s">
        <v>4794</v>
      </c>
      <c r="L1026" s="830" t="s">
        <v>4794</v>
      </c>
      <c r="M1026" s="830" t="s">
        <v>4794</v>
      </c>
      <c r="N1026" s="830" t="s">
        <v>4794</v>
      </c>
      <c r="O1026" s="830" t="s">
        <v>4794</v>
      </c>
      <c r="P1026" s="830" t="s">
        <v>4794</v>
      </c>
      <c r="Q1026" s="832">
        <f t="shared" si="14"/>
        <v>1</v>
      </c>
      <c r="R1026" s="833" t="s">
        <v>4025</v>
      </c>
      <c r="S1026" s="859"/>
      <c r="T1026" s="859"/>
      <c r="U1026" s="859"/>
      <c r="V1026" s="859"/>
      <c r="W1026" s="859"/>
      <c r="X1026" s="859"/>
      <c r="Y1026" s="859"/>
      <c r="Z1026" s="859"/>
      <c r="AA1026" s="859"/>
      <c r="AB1026" s="859"/>
      <c r="AC1026" s="859"/>
      <c r="AD1026" s="859"/>
      <c r="AE1026" s="859"/>
      <c r="AF1026" s="859"/>
    </row>
    <row r="1027" spans="1:32" ht="63">
      <c r="A1027" s="827">
        <v>994</v>
      </c>
      <c r="B1027" s="828" t="s">
        <v>464</v>
      </c>
      <c r="C1027" s="833" t="s">
        <v>535</v>
      </c>
      <c r="D1027" s="829" t="s">
        <v>536</v>
      </c>
      <c r="E1027" s="830" t="s">
        <v>4794</v>
      </c>
      <c r="F1027" s="830" t="s">
        <v>4794</v>
      </c>
      <c r="G1027" s="830" t="s">
        <v>4794</v>
      </c>
      <c r="H1027" s="830" t="s">
        <v>4794</v>
      </c>
      <c r="I1027" s="830" t="s">
        <v>4794</v>
      </c>
      <c r="J1027" s="831">
        <v>1</v>
      </c>
      <c r="K1027" s="830" t="s">
        <v>4794</v>
      </c>
      <c r="L1027" s="830" t="s">
        <v>4794</v>
      </c>
      <c r="M1027" s="830" t="s">
        <v>4794</v>
      </c>
      <c r="N1027" s="830" t="s">
        <v>4794</v>
      </c>
      <c r="O1027" s="830" t="s">
        <v>4794</v>
      </c>
      <c r="P1027" s="830" t="s">
        <v>4794</v>
      </c>
      <c r="Q1027" s="832">
        <f t="shared" si="14"/>
        <v>1</v>
      </c>
      <c r="R1027" s="833" t="s">
        <v>4025</v>
      </c>
      <c r="S1027" s="859"/>
      <c r="T1027" s="859"/>
      <c r="U1027" s="859"/>
      <c r="V1027" s="859"/>
      <c r="W1027" s="859"/>
      <c r="X1027" s="859"/>
      <c r="Y1027" s="859"/>
      <c r="Z1027" s="859"/>
      <c r="AA1027" s="859"/>
      <c r="AB1027" s="859"/>
      <c r="AC1027" s="859"/>
      <c r="AD1027" s="859"/>
      <c r="AE1027" s="859"/>
      <c r="AF1027" s="859"/>
    </row>
    <row r="1028" spans="1:32" ht="42.75" thickBot="1">
      <c r="A1028" s="838">
        <v>995</v>
      </c>
      <c r="B1028" s="839" t="s">
        <v>464</v>
      </c>
      <c r="C1028" s="844" t="s">
        <v>537</v>
      </c>
      <c r="D1028" s="840" t="s">
        <v>538</v>
      </c>
      <c r="E1028" s="841" t="s">
        <v>4794</v>
      </c>
      <c r="F1028" s="841" t="s">
        <v>4794</v>
      </c>
      <c r="G1028" s="841" t="s">
        <v>4794</v>
      </c>
      <c r="H1028" s="841" t="s">
        <v>4794</v>
      </c>
      <c r="I1028" s="841" t="s">
        <v>4794</v>
      </c>
      <c r="J1028" s="842">
        <v>1</v>
      </c>
      <c r="K1028" s="841" t="s">
        <v>4794</v>
      </c>
      <c r="L1028" s="841" t="s">
        <v>4794</v>
      </c>
      <c r="M1028" s="841" t="s">
        <v>4794</v>
      </c>
      <c r="N1028" s="841" t="s">
        <v>4794</v>
      </c>
      <c r="O1028" s="841" t="s">
        <v>4794</v>
      </c>
      <c r="P1028" s="841" t="s">
        <v>4794</v>
      </c>
      <c r="Q1028" s="843">
        <f t="shared" si="14"/>
        <v>1</v>
      </c>
      <c r="R1028" s="844" t="s">
        <v>4025</v>
      </c>
      <c r="S1028" s="859"/>
      <c r="T1028" s="859"/>
      <c r="U1028" s="859"/>
      <c r="V1028" s="859"/>
      <c r="W1028" s="859"/>
      <c r="X1028" s="859"/>
      <c r="Y1028" s="859"/>
      <c r="Z1028" s="859"/>
      <c r="AA1028" s="859"/>
      <c r="AB1028" s="859"/>
      <c r="AC1028" s="859"/>
      <c r="AD1028" s="859"/>
      <c r="AE1028" s="859"/>
      <c r="AF1028" s="859"/>
    </row>
    <row r="1029" spans="1:32" ht="21.75" thickBot="1">
      <c r="A1029" s="903"/>
      <c r="B1029" s="901"/>
      <c r="C1029" s="901"/>
      <c r="D1029" s="847" t="s">
        <v>4020</v>
      </c>
      <c r="E1029" s="902"/>
      <c r="F1029" s="902"/>
      <c r="G1029" s="902"/>
      <c r="H1029" s="902"/>
      <c r="I1029" s="902"/>
      <c r="J1029" s="902"/>
      <c r="K1029" s="902"/>
      <c r="L1029" s="902"/>
      <c r="M1029" s="902"/>
      <c r="N1029" s="902"/>
      <c r="O1029" s="902"/>
      <c r="P1029" s="902"/>
      <c r="Q1029" s="849"/>
      <c r="R1029" s="903"/>
      <c r="S1029" s="859"/>
      <c r="T1029" s="859"/>
      <c r="U1029" s="859"/>
      <c r="V1029" s="859"/>
      <c r="W1029" s="859"/>
      <c r="X1029" s="859"/>
      <c r="Y1029" s="859"/>
      <c r="Z1029" s="859"/>
      <c r="AA1029" s="859"/>
      <c r="AB1029" s="859"/>
      <c r="AC1029" s="859"/>
      <c r="AD1029" s="859"/>
      <c r="AE1029" s="859"/>
      <c r="AF1029" s="859"/>
    </row>
    <row r="1030" spans="1:32" ht="63">
      <c r="A1030" s="818">
        <v>996</v>
      </c>
      <c r="B1030" s="819" t="s">
        <v>539</v>
      </c>
      <c r="C1030" s="819" t="s">
        <v>540</v>
      </c>
      <c r="D1030" s="820" t="s">
        <v>541</v>
      </c>
      <c r="E1030" s="822">
        <v>1</v>
      </c>
      <c r="F1030" s="822">
        <v>2</v>
      </c>
      <c r="G1030" s="822">
        <v>1</v>
      </c>
      <c r="H1030" s="822">
        <v>2</v>
      </c>
      <c r="I1030" s="822">
        <v>1</v>
      </c>
      <c r="J1030" s="822">
        <v>2</v>
      </c>
      <c r="K1030" s="822">
        <v>1</v>
      </c>
      <c r="L1030" s="822">
        <v>2</v>
      </c>
      <c r="M1030" s="822">
        <v>1</v>
      </c>
      <c r="N1030" s="822">
        <v>2</v>
      </c>
      <c r="O1030" s="822">
        <v>1</v>
      </c>
      <c r="P1030" s="822">
        <v>2</v>
      </c>
      <c r="Q1030" s="823">
        <f t="shared" si="14"/>
        <v>18</v>
      </c>
      <c r="R1030" s="824" t="s">
        <v>4025</v>
      </c>
      <c r="S1030" s="859"/>
      <c r="T1030" s="859"/>
      <c r="U1030" s="859"/>
      <c r="V1030" s="859"/>
      <c r="W1030" s="859"/>
      <c r="X1030" s="859"/>
      <c r="Y1030" s="859"/>
      <c r="Z1030" s="859"/>
      <c r="AA1030" s="859"/>
      <c r="AB1030" s="859"/>
      <c r="AC1030" s="859"/>
      <c r="AD1030" s="859"/>
      <c r="AE1030" s="859"/>
      <c r="AF1030" s="859"/>
    </row>
    <row r="1031" spans="1:32" ht="42.75" thickBot="1">
      <c r="A1031" s="838">
        <v>997</v>
      </c>
      <c r="B1031" s="839" t="s">
        <v>539</v>
      </c>
      <c r="C1031" s="839" t="s">
        <v>542</v>
      </c>
      <c r="D1031" s="840" t="s">
        <v>543</v>
      </c>
      <c r="E1031" s="842">
        <v>1</v>
      </c>
      <c r="F1031" s="842">
        <v>2</v>
      </c>
      <c r="G1031" s="842">
        <v>1</v>
      </c>
      <c r="H1031" s="842">
        <v>2</v>
      </c>
      <c r="I1031" s="842">
        <v>1</v>
      </c>
      <c r="J1031" s="842">
        <v>2</v>
      </c>
      <c r="K1031" s="842">
        <v>1</v>
      </c>
      <c r="L1031" s="842">
        <v>2</v>
      </c>
      <c r="M1031" s="842">
        <v>1</v>
      </c>
      <c r="N1031" s="842">
        <v>2</v>
      </c>
      <c r="O1031" s="842">
        <v>1</v>
      </c>
      <c r="P1031" s="842">
        <v>2</v>
      </c>
      <c r="Q1031" s="843">
        <f t="shared" si="14"/>
        <v>18</v>
      </c>
      <c r="R1031" s="844" t="s">
        <v>4025</v>
      </c>
      <c r="S1031" s="859"/>
      <c r="T1031" s="859"/>
      <c r="U1031" s="859"/>
      <c r="V1031" s="859"/>
      <c r="W1031" s="859"/>
      <c r="X1031" s="859"/>
      <c r="Y1031" s="859"/>
      <c r="Z1031" s="859"/>
      <c r="AA1031" s="859"/>
      <c r="AB1031" s="859"/>
      <c r="AC1031" s="859"/>
      <c r="AD1031" s="859"/>
      <c r="AE1031" s="859"/>
      <c r="AF1031" s="859"/>
    </row>
    <row r="1032" spans="1:32" ht="21.75" thickBot="1">
      <c r="A1032" s="903"/>
      <c r="B1032" s="901"/>
      <c r="C1032" s="901"/>
      <c r="D1032" s="847" t="s">
        <v>4020</v>
      </c>
      <c r="E1032" s="902"/>
      <c r="F1032" s="902"/>
      <c r="G1032" s="902"/>
      <c r="H1032" s="902"/>
      <c r="I1032" s="902"/>
      <c r="J1032" s="902"/>
      <c r="K1032" s="902"/>
      <c r="L1032" s="902"/>
      <c r="M1032" s="902"/>
      <c r="N1032" s="902"/>
      <c r="O1032" s="902"/>
      <c r="P1032" s="902"/>
      <c r="Q1032" s="849"/>
      <c r="R1032" s="903"/>
      <c r="S1032" s="859"/>
      <c r="T1032" s="859"/>
      <c r="U1032" s="859"/>
      <c r="V1032" s="859"/>
      <c r="W1032" s="859"/>
      <c r="X1032" s="859"/>
      <c r="Y1032" s="859"/>
      <c r="Z1032" s="859"/>
      <c r="AA1032" s="859"/>
      <c r="AB1032" s="859"/>
      <c r="AC1032" s="859"/>
      <c r="AD1032" s="859"/>
      <c r="AE1032" s="859"/>
      <c r="AF1032" s="859"/>
    </row>
    <row r="1033" spans="1:32" ht="31.5">
      <c r="A1033" s="818">
        <v>998</v>
      </c>
      <c r="B1033" s="819" t="s">
        <v>544</v>
      </c>
      <c r="C1033" s="819" t="s">
        <v>545</v>
      </c>
      <c r="D1033" s="820" t="s">
        <v>546</v>
      </c>
      <c r="E1033" s="821"/>
      <c r="F1033" s="821" t="s">
        <v>4794</v>
      </c>
      <c r="G1033" s="821" t="s">
        <v>4794</v>
      </c>
      <c r="H1033" s="821" t="s">
        <v>4794</v>
      </c>
      <c r="I1033" s="821" t="s">
        <v>4794</v>
      </c>
      <c r="J1033" s="822">
        <v>1</v>
      </c>
      <c r="K1033" s="822">
        <v>1</v>
      </c>
      <c r="L1033" s="822">
        <v>1</v>
      </c>
      <c r="M1033" s="822">
        <v>1</v>
      </c>
      <c r="N1033" s="821" t="s">
        <v>4794</v>
      </c>
      <c r="O1033" s="821" t="s">
        <v>4794</v>
      </c>
      <c r="P1033" s="822">
        <v>1</v>
      </c>
      <c r="Q1033" s="823">
        <f t="shared" si="14"/>
        <v>5</v>
      </c>
      <c r="R1033" s="824" t="s">
        <v>4025</v>
      </c>
      <c r="S1033" s="859"/>
      <c r="T1033" s="859"/>
      <c r="U1033" s="859"/>
      <c r="V1033" s="859"/>
      <c r="W1033" s="859"/>
      <c r="X1033" s="859"/>
      <c r="Y1033" s="859"/>
      <c r="Z1033" s="859"/>
      <c r="AA1033" s="859"/>
      <c r="AB1033" s="859"/>
      <c r="AC1033" s="859"/>
      <c r="AD1033" s="859"/>
      <c r="AE1033" s="859"/>
      <c r="AF1033" s="859"/>
    </row>
    <row r="1034" spans="1:32" ht="31.5">
      <c r="A1034" s="827">
        <v>999</v>
      </c>
      <c r="B1034" s="828" t="s">
        <v>544</v>
      </c>
      <c r="C1034" s="828" t="s">
        <v>547</v>
      </c>
      <c r="D1034" s="829" t="s">
        <v>548</v>
      </c>
      <c r="E1034" s="830" t="s">
        <v>4794</v>
      </c>
      <c r="F1034" s="831">
        <v>1</v>
      </c>
      <c r="G1034" s="831">
        <v>1</v>
      </c>
      <c r="H1034" s="831">
        <v>1</v>
      </c>
      <c r="I1034" s="831">
        <v>1</v>
      </c>
      <c r="J1034" s="830"/>
      <c r="K1034" s="830"/>
      <c r="L1034" s="830"/>
      <c r="M1034" s="830"/>
      <c r="N1034" s="831">
        <v>1</v>
      </c>
      <c r="O1034" s="831">
        <v>1</v>
      </c>
      <c r="P1034" s="831">
        <v>1</v>
      </c>
      <c r="Q1034" s="832">
        <f t="shared" si="14"/>
        <v>7</v>
      </c>
      <c r="R1034" s="833" t="s">
        <v>4025</v>
      </c>
      <c r="S1034" s="859"/>
      <c r="T1034" s="859"/>
      <c r="U1034" s="859"/>
      <c r="V1034" s="859"/>
      <c r="W1034" s="859"/>
      <c r="X1034" s="859"/>
      <c r="Y1034" s="859"/>
      <c r="Z1034" s="859"/>
      <c r="AA1034" s="859"/>
      <c r="AB1034" s="859"/>
      <c r="AC1034" s="859"/>
      <c r="AD1034" s="859"/>
      <c r="AE1034" s="859"/>
      <c r="AF1034" s="859"/>
    </row>
    <row r="1035" spans="1:32" ht="31.5">
      <c r="A1035" s="827">
        <v>1000</v>
      </c>
      <c r="B1035" s="828" t="s">
        <v>544</v>
      </c>
      <c r="C1035" s="828" t="s">
        <v>549</v>
      </c>
      <c r="D1035" s="829" t="s">
        <v>550</v>
      </c>
      <c r="E1035" s="830" t="s">
        <v>4794</v>
      </c>
      <c r="F1035" s="830" t="s">
        <v>4794</v>
      </c>
      <c r="G1035" s="830" t="s">
        <v>4794</v>
      </c>
      <c r="H1035" s="830" t="s">
        <v>4794</v>
      </c>
      <c r="I1035" s="830"/>
      <c r="J1035" s="830" t="s">
        <v>4794</v>
      </c>
      <c r="K1035" s="831">
        <v>1</v>
      </c>
      <c r="L1035" s="830" t="s">
        <v>4794</v>
      </c>
      <c r="M1035" s="830" t="s">
        <v>4794</v>
      </c>
      <c r="N1035" s="830" t="s">
        <v>4794</v>
      </c>
      <c r="O1035" s="830" t="s">
        <v>4794</v>
      </c>
      <c r="P1035" s="830" t="s">
        <v>4794</v>
      </c>
      <c r="Q1035" s="832">
        <f t="shared" si="14"/>
        <v>1</v>
      </c>
      <c r="R1035" s="833" t="s">
        <v>4025</v>
      </c>
      <c r="S1035" s="859"/>
      <c r="T1035" s="859"/>
      <c r="U1035" s="859"/>
      <c r="V1035" s="859"/>
      <c r="W1035" s="859"/>
      <c r="X1035" s="859"/>
      <c r="Y1035" s="859"/>
      <c r="Z1035" s="859"/>
      <c r="AA1035" s="859"/>
      <c r="AB1035" s="859"/>
      <c r="AC1035" s="859"/>
      <c r="AD1035" s="859"/>
      <c r="AE1035" s="859"/>
      <c r="AF1035" s="859"/>
    </row>
    <row r="1036" spans="1:32" ht="31.5">
      <c r="A1036" s="827">
        <v>1001</v>
      </c>
      <c r="B1036" s="828" t="s">
        <v>544</v>
      </c>
      <c r="C1036" s="828" t="s">
        <v>551</v>
      </c>
      <c r="D1036" s="829" t="s">
        <v>552</v>
      </c>
      <c r="E1036" s="830" t="s">
        <v>4794</v>
      </c>
      <c r="F1036" s="830" t="s">
        <v>4794</v>
      </c>
      <c r="G1036" s="830" t="s">
        <v>4794</v>
      </c>
      <c r="H1036" s="830" t="s">
        <v>4794</v>
      </c>
      <c r="I1036" s="830"/>
      <c r="J1036" s="830" t="s">
        <v>4794</v>
      </c>
      <c r="K1036" s="831">
        <v>1</v>
      </c>
      <c r="L1036" s="830"/>
      <c r="M1036" s="830" t="s">
        <v>4794</v>
      </c>
      <c r="N1036" s="830" t="s">
        <v>4794</v>
      </c>
      <c r="O1036" s="830" t="s">
        <v>4794</v>
      </c>
      <c r="P1036" s="830" t="s">
        <v>4794</v>
      </c>
      <c r="Q1036" s="832">
        <f t="shared" si="14"/>
        <v>1</v>
      </c>
      <c r="R1036" s="833" t="s">
        <v>4025</v>
      </c>
      <c r="S1036" s="859"/>
      <c r="T1036" s="859"/>
      <c r="U1036" s="859"/>
      <c r="V1036" s="859"/>
      <c r="W1036" s="859"/>
      <c r="X1036" s="859"/>
      <c r="Y1036" s="859"/>
      <c r="Z1036" s="859"/>
      <c r="AA1036" s="859"/>
      <c r="AB1036" s="859"/>
      <c r="AC1036" s="859"/>
      <c r="AD1036" s="859"/>
      <c r="AE1036" s="859"/>
      <c r="AF1036" s="859"/>
    </row>
    <row r="1037" spans="1:32" ht="31.5">
      <c r="A1037" s="827">
        <v>1002</v>
      </c>
      <c r="B1037" s="828" t="s">
        <v>544</v>
      </c>
      <c r="C1037" s="828" t="s">
        <v>553</v>
      </c>
      <c r="D1037" s="829" t="s">
        <v>554</v>
      </c>
      <c r="E1037" s="831">
        <v>1</v>
      </c>
      <c r="F1037" s="831">
        <v>1</v>
      </c>
      <c r="G1037" s="831">
        <v>1</v>
      </c>
      <c r="H1037" s="831">
        <v>1</v>
      </c>
      <c r="I1037" s="831">
        <v>1</v>
      </c>
      <c r="J1037" s="831">
        <v>1</v>
      </c>
      <c r="K1037" s="831">
        <v>1</v>
      </c>
      <c r="L1037" s="831">
        <v>1</v>
      </c>
      <c r="M1037" s="831">
        <v>1</v>
      </c>
      <c r="N1037" s="831">
        <v>1</v>
      </c>
      <c r="O1037" s="831">
        <v>1</v>
      </c>
      <c r="P1037" s="831">
        <v>1</v>
      </c>
      <c r="Q1037" s="832">
        <f t="shared" si="14"/>
        <v>12</v>
      </c>
      <c r="R1037" s="833" t="s">
        <v>4025</v>
      </c>
      <c r="S1037" s="859"/>
      <c r="T1037" s="859"/>
      <c r="U1037" s="859"/>
      <c r="V1037" s="859"/>
      <c r="W1037" s="859"/>
      <c r="X1037" s="859"/>
      <c r="Y1037" s="859"/>
      <c r="Z1037" s="859"/>
      <c r="AA1037" s="859"/>
      <c r="AB1037" s="859"/>
      <c r="AC1037" s="859"/>
      <c r="AD1037" s="859"/>
      <c r="AE1037" s="859"/>
      <c r="AF1037" s="859"/>
    </row>
    <row r="1038" spans="1:32" ht="31.5">
      <c r="A1038" s="827">
        <v>1003</v>
      </c>
      <c r="B1038" s="828" t="s">
        <v>544</v>
      </c>
      <c r="C1038" s="828" t="s">
        <v>555</v>
      </c>
      <c r="D1038" s="829" t="s">
        <v>556</v>
      </c>
      <c r="E1038" s="831">
        <v>1</v>
      </c>
      <c r="F1038" s="831">
        <v>1</v>
      </c>
      <c r="G1038" s="831">
        <v>1</v>
      </c>
      <c r="H1038" s="831">
        <v>1</v>
      </c>
      <c r="I1038" s="831">
        <v>1</v>
      </c>
      <c r="J1038" s="831">
        <v>1</v>
      </c>
      <c r="K1038" s="831">
        <v>1</v>
      </c>
      <c r="L1038" s="831">
        <v>1</v>
      </c>
      <c r="M1038" s="831">
        <v>1</v>
      </c>
      <c r="N1038" s="831">
        <v>1</v>
      </c>
      <c r="O1038" s="830" t="s">
        <v>4794</v>
      </c>
      <c r="P1038" s="830" t="s">
        <v>4794</v>
      </c>
      <c r="Q1038" s="832">
        <f t="shared" si="14"/>
        <v>10</v>
      </c>
      <c r="R1038" s="833" t="s">
        <v>4025</v>
      </c>
      <c r="S1038" s="859"/>
      <c r="T1038" s="859"/>
      <c r="U1038" s="859"/>
      <c r="V1038" s="859"/>
      <c r="W1038" s="859"/>
      <c r="X1038" s="859"/>
      <c r="Y1038" s="859"/>
      <c r="Z1038" s="859"/>
      <c r="AA1038" s="859"/>
      <c r="AB1038" s="859"/>
      <c r="AC1038" s="859"/>
      <c r="AD1038" s="859"/>
      <c r="AE1038" s="859"/>
      <c r="AF1038" s="859"/>
    </row>
    <row r="1039" spans="1:32" ht="31.5">
      <c r="A1039" s="827">
        <v>1004</v>
      </c>
      <c r="B1039" s="828" t="s">
        <v>544</v>
      </c>
      <c r="C1039" s="828" t="s">
        <v>557</v>
      </c>
      <c r="D1039" s="829" t="s">
        <v>558</v>
      </c>
      <c r="E1039" s="831">
        <v>5</v>
      </c>
      <c r="F1039" s="831">
        <v>5</v>
      </c>
      <c r="G1039" s="831">
        <v>5</v>
      </c>
      <c r="H1039" s="831">
        <v>5</v>
      </c>
      <c r="I1039" s="831">
        <v>5</v>
      </c>
      <c r="J1039" s="831">
        <v>5</v>
      </c>
      <c r="K1039" s="831">
        <v>5</v>
      </c>
      <c r="L1039" s="831">
        <v>5</v>
      </c>
      <c r="M1039" s="831">
        <v>5</v>
      </c>
      <c r="N1039" s="831">
        <v>5</v>
      </c>
      <c r="O1039" s="831">
        <v>5</v>
      </c>
      <c r="P1039" s="831">
        <v>5</v>
      </c>
      <c r="Q1039" s="832">
        <f t="shared" si="14"/>
        <v>60</v>
      </c>
      <c r="R1039" s="833" t="s">
        <v>4025</v>
      </c>
      <c r="S1039" s="859"/>
      <c r="T1039" s="859"/>
      <c r="U1039" s="859"/>
      <c r="V1039" s="859"/>
      <c r="W1039" s="859"/>
      <c r="X1039" s="859"/>
      <c r="Y1039" s="859"/>
      <c r="Z1039" s="859"/>
      <c r="AA1039" s="859"/>
      <c r="AB1039" s="859"/>
      <c r="AC1039" s="859"/>
      <c r="AD1039" s="859"/>
      <c r="AE1039" s="859"/>
      <c r="AF1039" s="859"/>
    </row>
    <row r="1040" spans="1:32" ht="31.5">
      <c r="A1040" s="827">
        <v>1005</v>
      </c>
      <c r="B1040" s="828" t="s">
        <v>544</v>
      </c>
      <c r="C1040" s="828" t="s">
        <v>559</v>
      </c>
      <c r="D1040" s="829" t="s">
        <v>560</v>
      </c>
      <c r="E1040" s="830" t="s">
        <v>4794</v>
      </c>
      <c r="F1040" s="830" t="s">
        <v>4794</v>
      </c>
      <c r="G1040" s="830" t="s">
        <v>4794</v>
      </c>
      <c r="H1040" s="830" t="s">
        <v>4794</v>
      </c>
      <c r="I1040" s="830" t="s">
        <v>4794</v>
      </c>
      <c r="J1040" s="831">
        <v>1</v>
      </c>
      <c r="K1040" s="830" t="s">
        <v>4794</v>
      </c>
      <c r="L1040" s="830" t="s">
        <v>4794</v>
      </c>
      <c r="M1040" s="830" t="s">
        <v>4794</v>
      </c>
      <c r="N1040" s="830" t="s">
        <v>4794</v>
      </c>
      <c r="O1040" s="830" t="s">
        <v>4794</v>
      </c>
      <c r="P1040" s="830" t="s">
        <v>4794</v>
      </c>
      <c r="Q1040" s="832">
        <f t="shared" si="14"/>
        <v>1</v>
      </c>
      <c r="R1040" s="833" t="s">
        <v>4025</v>
      </c>
      <c r="S1040" s="859"/>
      <c r="T1040" s="859"/>
      <c r="U1040" s="859"/>
      <c r="V1040" s="859"/>
      <c r="W1040" s="859"/>
      <c r="X1040" s="859"/>
      <c r="Y1040" s="859"/>
      <c r="Z1040" s="859"/>
      <c r="AA1040" s="859"/>
      <c r="AB1040" s="859"/>
      <c r="AC1040" s="859"/>
      <c r="AD1040" s="859"/>
      <c r="AE1040" s="859"/>
      <c r="AF1040" s="859"/>
    </row>
    <row r="1041" spans="1:32" ht="31.5">
      <c r="A1041" s="827">
        <v>1006</v>
      </c>
      <c r="B1041" s="828" t="s">
        <v>544</v>
      </c>
      <c r="C1041" s="828" t="s">
        <v>561</v>
      </c>
      <c r="D1041" s="829" t="s">
        <v>562</v>
      </c>
      <c r="E1041" s="831">
        <v>1</v>
      </c>
      <c r="F1041" s="831">
        <v>1</v>
      </c>
      <c r="G1041" s="831">
        <v>1</v>
      </c>
      <c r="H1041" s="831">
        <v>1</v>
      </c>
      <c r="I1041" s="831">
        <v>1</v>
      </c>
      <c r="J1041" s="831">
        <v>1</v>
      </c>
      <c r="K1041" s="831">
        <v>1</v>
      </c>
      <c r="L1041" s="831">
        <v>1</v>
      </c>
      <c r="M1041" s="831">
        <v>1</v>
      </c>
      <c r="N1041" s="831">
        <v>1</v>
      </c>
      <c r="O1041" s="831">
        <v>1</v>
      </c>
      <c r="P1041" s="831">
        <v>1</v>
      </c>
      <c r="Q1041" s="832">
        <f t="shared" si="14"/>
        <v>12</v>
      </c>
      <c r="R1041" s="833" t="s">
        <v>4025</v>
      </c>
      <c r="S1041" s="859"/>
      <c r="T1041" s="859"/>
      <c r="U1041" s="859"/>
      <c r="V1041" s="859"/>
      <c r="W1041" s="859"/>
      <c r="X1041" s="859"/>
      <c r="Y1041" s="859"/>
      <c r="Z1041" s="859"/>
      <c r="AA1041" s="859"/>
      <c r="AB1041" s="859"/>
      <c r="AC1041" s="859"/>
      <c r="AD1041" s="859"/>
      <c r="AE1041" s="859"/>
      <c r="AF1041" s="859"/>
    </row>
    <row r="1042" spans="1:32" ht="21">
      <c r="A1042" s="827">
        <v>1007</v>
      </c>
      <c r="B1042" s="828" t="s">
        <v>544</v>
      </c>
      <c r="C1042" s="828" t="s">
        <v>563</v>
      </c>
      <c r="D1042" s="829" t="s">
        <v>564</v>
      </c>
      <c r="E1042" s="830"/>
      <c r="F1042" s="830"/>
      <c r="G1042" s="831">
        <v>5</v>
      </c>
      <c r="H1042" s="831">
        <v>5</v>
      </c>
      <c r="I1042" s="831">
        <v>5</v>
      </c>
      <c r="J1042" s="830"/>
      <c r="K1042" s="830"/>
      <c r="L1042" s="830"/>
      <c r="M1042" s="830"/>
      <c r="N1042" s="831">
        <v>5</v>
      </c>
      <c r="O1042" s="831">
        <v>5</v>
      </c>
      <c r="P1042" s="831">
        <v>5</v>
      </c>
      <c r="Q1042" s="832">
        <f t="shared" si="14"/>
        <v>30</v>
      </c>
      <c r="R1042" s="833" t="s">
        <v>4025</v>
      </c>
      <c r="S1042" s="859"/>
      <c r="T1042" s="859"/>
      <c r="U1042" s="859"/>
      <c r="V1042" s="859"/>
      <c r="W1042" s="859"/>
      <c r="X1042" s="859"/>
      <c r="Y1042" s="859"/>
      <c r="Z1042" s="859"/>
      <c r="AA1042" s="859"/>
      <c r="AB1042" s="859"/>
      <c r="AC1042" s="859"/>
      <c r="AD1042" s="859"/>
      <c r="AE1042" s="859"/>
      <c r="AF1042" s="859"/>
    </row>
    <row r="1043" spans="1:32" ht="21">
      <c r="A1043" s="827">
        <v>1008</v>
      </c>
      <c r="B1043" s="828" t="s">
        <v>544</v>
      </c>
      <c r="C1043" s="828" t="s">
        <v>565</v>
      </c>
      <c r="D1043" s="829" t="s">
        <v>566</v>
      </c>
      <c r="E1043" s="830"/>
      <c r="F1043" s="830"/>
      <c r="G1043" s="830"/>
      <c r="H1043" s="830"/>
      <c r="I1043" s="830"/>
      <c r="J1043" s="830"/>
      <c r="K1043" s="830"/>
      <c r="L1043" s="830"/>
      <c r="M1043" s="830"/>
      <c r="N1043" s="830"/>
      <c r="O1043" s="831">
        <v>1</v>
      </c>
      <c r="P1043" s="831">
        <v>1</v>
      </c>
      <c r="Q1043" s="832">
        <f t="shared" si="14"/>
        <v>2</v>
      </c>
      <c r="R1043" s="833" t="s">
        <v>4025</v>
      </c>
      <c r="S1043" s="859"/>
      <c r="T1043" s="859"/>
      <c r="U1043" s="859"/>
      <c r="V1043" s="859"/>
      <c r="W1043" s="859"/>
      <c r="X1043" s="859"/>
      <c r="Y1043" s="859"/>
      <c r="Z1043" s="859"/>
      <c r="AA1043" s="859"/>
      <c r="AB1043" s="859"/>
      <c r="AC1043" s="859"/>
      <c r="AD1043" s="859"/>
      <c r="AE1043" s="859"/>
      <c r="AF1043" s="859"/>
    </row>
    <row r="1044" spans="1:32" ht="31.5">
      <c r="A1044" s="827">
        <v>1009</v>
      </c>
      <c r="B1044" s="828" t="s">
        <v>544</v>
      </c>
      <c r="C1044" s="828" t="s">
        <v>567</v>
      </c>
      <c r="D1044" s="829" t="s">
        <v>568</v>
      </c>
      <c r="E1044" s="830" t="s">
        <v>4794</v>
      </c>
      <c r="F1044" s="830"/>
      <c r="G1044" s="830" t="s">
        <v>4794</v>
      </c>
      <c r="H1044" s="830" t="s">
        <v>4794</v>
      </c>
      <c r="I1044" s="830" t="s">
        <v>4794</v>
      </c>
      <c r="J1044" s="830" t="s">
        <v>4794</v>
      </c>
      <c r="K1044" s="831">
        <v>50</v>
      </c>
      <c r="L1044" s="830" t="s">
        <v>4794</v>
      </c>
      <c r="M1044" s="830" t="s">
        <v>4794</v>
      </c>
      <c r="N1044" s="830" t="s">
        <v>4794</v>
      </c>
      <c r="O1044" s="830" t="s">
        <v>4794</v>
      </c>
      <c r="P1044" s="830" t="s">
        <v>4794</v>
      </c>
      <c r="Q1044" s="832">
        <f t="shared" si="14"/>
        <v>50</v>
      </c>
      <c r="R1044" s="833" t="s">
        <v>2261</v>
      </c>
      <c r="S1044" s="859"/>
      <c r="T1044" s="859"/>
      <c r="U1044" s="859"/>
      <c r="V1044" s="859"/>
      <c r="W1044" s="859"/>
      <c r="X1044" s="859"/>
      <c r="Y1044" s="859"/>
      <c r="Z1044" s="859"/>
      <c r="AA1044" s="859"/>
      <c r="AB1044" s="859"/>
      <c r="AC1044" s="859"/>
      <c r="AD1044" s="859"/>
      <c r="AE1044" s="859"/>
      <c r="AF1044" s="859"/>
    </row>
    <row r="1045" spans="1:32" ht="31.5">
      <c r="A1045" s="827">
        <v>1010</v>
      </c>
      <c r="B1045" s="828" t="s">
        <v>544</v>
      </c>
      <c r="C1045" s="828" t="s">
        <v>569</v>
      </c>
      <c r="D1045" s="829" t="s">
        <v>570</v>
      </c>
      <c r="E1045" s="830" t="s">
        <v>4794</v>
      </c>
      <c r="F1045" s="830" t="s">
        <v>4794</v>
      </c>
      <c r="G1045" s="830"/>
      <c r="H1045" s="830" t="s">
        <v>4794</v>
      </c>
      <c r="I1045" s="830" t="s">
        <v>4794</v>
      </c>
      <c r="J1045" s="831">
        <v>100</v>
      </c>
      <c r="K1045" s="830" t="s">
        <v>4794</v>
      </c>
      <c r="L1045" s="830" t="s">
        <v>4794</v>
      </c>
      <c r="M1045" s="830" t="s">
        <v>4794</v>
      </c>
      <c r="N1045" s="830" t="s">
        <v>4794</v>
      </c>
      <c r="O1045" s="830" t="s">
        <v>4794</v>
      </c>
      <c r="P1045" s="830" t="s">
        <v>4794</v>
      </c>
      <c r="Q1045" s="832">
        <f t="shared" si="14"/>
        <v>100</v>
      </c>
      <c r="R1045" s="833" t="s">
        <v>3714</v>
      </c>
      <c r="S1045" s="859"/>
      <c r="T1045" s="859"/>
      <c r="U1045" s="859"/>
      <c r="V1045" s="859"/>
      <c r="W1045" s="859"/>
      <c r="X1045" s="859"/>
      <c r="Y1045" s="859"/>
      <c r="Z1045" s="859"/>
      <c r="AA1045" s="859"/>
      <c r="AB1045" s="859"/>
      <c r="AC1045" s="859"/>
      <c r="AD1045" s="859"/>
      <c r="AE1045" s="859"/>
      <c r="AF1045" s="859"/>
    </row>
    <row r="1046" spans="1:32" ht="42">
      <c r="A1046" s="827">
        <v>1011</v>
      </c>
      <c r="B1046" s="828" t="s">
        <v>544</v>
      </c>
      <c r="C1046" s="828" t="s">
        <v>571</v>
      </c>
      <c r="D1046" s="829" t="s">
        <v>572</v>
      </c>
      <c r="E1046" s="830" t="s">
        <v>4794</v>
      </c>
      <c r="F1046" s="830" t="s">
        <v>4794</v>
      </c>
      <c r="G1046" s="830"/>
      <c r="H1046" s="830" t="s">
        <v>4794</v>
      </c>
      <c r="I1046" s="830" t="s">
        <v>4794</v>
      </c>
      <c r="J1046" s="830" t="s">
        <v>4794</v>
      </c>
      <c r="K1046" s="830" t="s">
        <v>4794</v>
      </c>
      <c r="L1046" s="831">
        <v>100</v>
      </c>
      <c r="M1046" s="830" t="s">
        <v>4794</v>
      </c>
      <c r="N1046" s="830" t="s">
        <v>4794</v>
      </c>
      <c r="O1046" s="830" t="s">
        <v>4794</v>
      </c>
      <c r="P1046" s="830" t="s">
        <v>4794</v>
      </c>
      <c r="Q1046" s="832">
        <f t="shared" si="14"/>
        <v>100</v>
      </c>
      <c r="R1046" s="833" t="s">
        <v>4025</v>
      </c>
      <c r="S1046" s="859"/>
      <c r="T1046" s="859"/>
      <c r="U1046" s="859"/>
      <c r="V1046" s="859"/>
      <c r="W1046" s="859"/>
      <c r="X1046" s="859"/>
      <c r="Y1046" s="859"/>
      <c r="Z1046" s="859"/>
      <c r="AA1046" s="859"/>
      <c r="AB1046" s="859"/>
      <c r="AC1046" s="859"/>
      <c r="AD1046" s="859"/>
      <c r="AE1046" s="859"/>
      <c r="AF1046" s="859"/>
    </row>
    <row r="1047" spans="1:32" ht="42">
      <c r="A1047" s="827">
        <v>1012</v>
      </c>
      <c r="B1047" s="828" t="s">
        <v>544</v>
      </c>
      <c r="C1047" s="828" t="s">
        <v>573</v>
      </c>
      <c r="D1047" s="829" t="s">
        <v>574</v>
      </c>
      <c r="E1047" s="830" t="s">
        <v>4794</v>
      </c>
      <c r="F1047" s="830"/>
      <c r="G1047" s="830" t="s">
        <v>4794</v>
      </c>
      <c r="H1047" s="830" t="s">
        <v>4794</v>
      </c>
      <c r="I1047" s="830" t="s">
        <v>4794</v>
      </c>
      <c r="J1047" s="831">
        <v>100</v>
      </c>
      <c r="K1047" s="830" t="s">
        <v>4794</v>
      </c>
      <c r="L1047" s="830" t="s">
        <v>4794</v>
      </c>
      <c r="M1047" s="830" t="s">
        <v>4794</v>
      </c>
      <c r="N1047" s="830" t="s">
        <v>4794</v>
      </c>
      <c r="O1047" s="830" t="s">
        <v>4794</v>
      </c>
      <c r="P1047" s="830" t="s">
        <v>4794</v>
      </c>
      <c r="Q1047" s="832">
        <f t="shared" si="14"/>
        <v>100</v>
      </c>
      <c r="R1047" s="833" t="s">
        <v>2261</v>
      </c>
      <c r="S1047" s="859"/>
      <c r="T1047" s="859"/>
      <c r="U1047" s="859"/>
      <c r="V1047" s="859"/>
      <c r="W1047" s="859"/>
      <c r="X1047" s="859"/>
      <c r="Y1047" s="859"/>
      <c r="Z1047" s="859"/>
      <c r="AA1047" s="859"/>
      <c r="AB1047" s="859"/>
      <c r="AC1047" s="859"/>
      <c r="AD1047" s="859"/>
      <c r="AE1047" s="859"/>
      <c r="AF1047" s="859"/>
    </row>
    <row r="1048" spans="1:32" ht="42">
      <c r="A1048" s="827">
        <v>1013</v>
      </c>
      <c r="B1048" s="828" t="s">
        <v>544</v>
      </c>
      <c r="C1048" s="828" t="s">
        <v>575</v>
      </c>
      <c r="D1048" s="829" t="s">
        <v>576</v>
      </c>
      <c r="E1048" s="830" t="s">
        <v>4794</v>
      </c>
      <c r="F1048" s="830"/>
      <c r="G1048" s="830" t="s">
        <v>4794</v>
      </c>
      <c r="H1048" s="830" t="s">
        <v>4794</v>
      </c>
      <c r="I1048" s="830" t="s">
        <v>4794</v>
      </c>
      <c r="J1048" s="830" t="s">
        <v>4794</v>
      </c>
      <c r="K1048" s="831">
        <v>100</v>
      </c>
      <c r="L1048" s="830" t="s">
        <v>4794</v>
      </c>
      <c r="M1048" s="830" t="s">
        <v>4794</v>
      </c>
      <c r="N1048" s="830" t="s">
        <v>4794</v>
      </c>
      <c r="O1048" s="830" t="s">
        <v>4794</v>
      </c>
      <c r="P1048" s="830" t="s">
        <v>4794</v>
      </c>
      <c r="Q1048" s="832">
        <f t="shared" si="14"/>
        <v>100</v>
      </c>
      <c r="R1048" s="833" t="s">
        <v>2261</v>
      </c>
      <c r="S1048" s="859"/>
      <c r="T1048" s="859"/>
      <c r="U1048" s="859"/>
      <c r="V1048" s="859"/>
      <c r="W1048" s="859"/>
      <c r="X1048" s="859"/>
      <c r="Y1048" s="859"/>
      <c r="Z1048" s="859"/>
      <c r="AA1048" s="859"/>
      <c r="AB1048" s="859"/>
      <c r="AC1048" s="859"/>
      <c r="AD1048" s="859"/>
      <c r="AE1048" s="859"/>
      <c r="AF1048" s="859"/>
    </row>
    <row r="1049" spans="1:32" ht="52.5">
      <c r="A1049" s="827">
        <v>1014</v>
      </c>
      <c r="B1049" s="828" t="s">
        <v>544</v>
      </c>
      <c r="C1049" s="828" t="s">
        <v>577</v>
      </c>
      <c r="D1049" s="829" t="s">
        <v>578</v>
      </c>
      <c r="E1049" s="830" t="s">
        <v>4794</v>
      </c>
      <c r="F1049" s="830" t="s">
        <v>4794</v>
      </c>
      <c r="G1049" s="831">
        <v>50</v>
      </c>
      <c r="H1049" s="830" t="s">
        <v>4794</v>
      </c>
      <c r="I1049" s="830" t="s">
        <v>4794</v>
      </c>
      <c r="J1049" s="830" t="s">
        <v>4794</v>
      </c>
      <c r="K1049" s="830" t="s">
        <v>4794</v>
      </c>
      <c r="L1049" s="831">
        <v>50</v>
      </c>
      <c r="M1049" s="830" t="s">
        <v>4794</v>
      </c>
      <c r="N1049" s="830" t="s">
        <v>4794</v>
      </c>
      <c r="O1049" s="830" t="s">
        <v>4794</v>
      </c>
      <c r="P1049" s="830" t="s">
        <v>4794</v>
      </c>
      <c r="Q1049" s="832">
        <f t="shared" si="14"/>
        <v>100</v>
      </c>
      <c r="R1049" s="833" t="s">
        <v>2261</v>
      </c>
      <c r="S1049" s="859"/>
      <c r="T1049" s="859"/>
      <c r="U1049" s="859"/>
      <c r="V1049" s="859"/>
      <c r="W1049" s="859"/>
      <c r="X1049" s="859"/>
      <c r="Y1049" s="859"/>
      <c r="Z1049" s="859"/>
      <c r="AA1049" s="859"/>
      <c r="AB1049" s="859"/>
      <c r="AC1049" s="859"/>
      <c r="AD1049" s="859"/>
      <c r="AE1049" s="859"/>
      <c r="AF1049" s="859"/>
    </row>
    <row r="1050" spans="1:32" ht="42">
      <c r="A1050" s="827">
        <v>1015</v>
      </c>
      <c r="B1050" s="828" t="s">
        <v>544</v>
      </c>
      <c r="C1050" s="828" t="s">
        <v>579</v>
      </c>
      <c r="D1050" s="829" t="s">
        <v>580</v>
      </c>
      <c r="E1050" s="830"/>
      <c r="F1050" s="830" t="s">
        <v>4794</v>
      </c>
      <c r="G1050" s="831">
        <v>3</v>
      </c>
      <c r="H1050" s="830" t="s">
        <v>4794</v>
      </c>
      <c r="I1050" s="830" t="s">
        <v>4794</v>
      </c>
      <c r="J1050" s="831">
        <v>2</v>
      </c>
      <c r="K1050" s="830" t="s">
        <v>4794</v>
      </c>
      <c r="L1050" s="830" t="s">
        <v>4794</v>
      </c>
      <c r="M1050" s="831">
        <v>3</v>
      </c>
      <c r="N1050" s="830" t="s">
        <v>4794</v>
      </c>
      <c r="O1050" s="830" t="s">
        <v>4794</v>
      </c>
      <c r="P1050" s="830" t="s">
        <v>4794</v>
      </c>
      <c r="Q1050" s="832">
        <f t="shared" si="14"/>
        <v>8</v>
      </c>
      <c r="R1050" s="833" t="s">
        <v>4025</v>
      </c>
      <c r="S1050" s="859"/>
      <c r="T1050" s="859"/>
      <c r="U1050" s="859"/>
      <c r="V1050" s="859"/>
      <c r="W1050" s="859"/>
      <c r="X1050" s="859"/>
      <c r="Y1050" s="859"/>
      <c r="Z1050" s="859"/>
      <c r="AA1050" s="859"/>
      <c r="AB1050" s="859"/>
      <c r="AC1050" s="859"/>
      <c r="AD1050" s="859"/>
      <c r="AE1050" s="859"/>
      <c r="AF1050" s="859"/>
    </row>
    <row r="1051" spans="1:32" ht="52.5">
      <c r="A1051" s="827">
        <v>1016</v>
      </c>
      <c r="B1051" s="828" t="s">
        <v>544</v>
      </c>
      <c r="C1051" s="828" t="s">
        <v>581</v>
      </c>
      <c r="D1051" s="829" t="s">
        <v>582</v>
      </c>
      <c r="E1051" s="830" t="s">
        <v>4794</v>
      </c>
      <c r="F1051" s="830" t="s">
        <v>4794</v>
      </c>
      <c r="G1051" s="830" t="s">
        <v>4794</v>
      </c>
      <c r="H1051" s="830" t="s">
        <v>4794</v>
      </c>
      <c r="I1051" s="831">
        <v>2</v>
      </c>
      <c r="J1051" s="830" t="s">
        <v>4794</v>
      </c>
      <c r="K1051" s="830" t="s">
        <v>4794</v>
      </c>
      <c r="L1051" s="830" t="s">
        <v>4794</v>
      </c>
      <c r="M1051" s="830" t="s">
        <v>4794</v>
      </c>
      <c r="N1051" s="830" t="s">
        <v>4794</v>
      </c>
      <c r="O1051" s="830" t="s">
        <v>4794</v>
      </c>
      <c r="P1051" s="830" t="s">
        <v>4794</v>
      </c>
      <c r="Q1051" s="832">
        <f t="shared" si="14"/>
        <v>2</v>
      </c>
      <c r="R1051" s="833" t="s">
        <v>4025</v>
      </c>
      <c r="S1051" s="859"/>
      <c r="T1051" s="859"/>
      <c r="U1051" s="859"/>
      <c r="V1051" s="859"/>
      <c r="W1051" s="859"/>
      <c r="X1051" s="859"/>
      <c r="Y1051" s="859"/>
      <c r="Z1051" s="859"/>
      <c r="AA1051" s="859"/>
      <c r="AB1051" s="859"/>
      <c r="AC1051" s="859"/>
      <c r="AD1051" s="859"/>
      <c r="AE1051" s="859"/>
      <c r="AF1051" s="859"/>
    </row>
    <row r="1052" spans="1:32" ht="52.5">
      <c r="A1052" s="827">
        <v>1017</v>
      </c>
      <c r="B1052" s="828" t="s">
        <v>544</v>
      </c>
      <c r="C1052" s="828" t="s">
        <v>583</v>
      </c>
      <c r="D1052" s="829" t="s">
        <v>584</v>
      </c>
      <c r="E1052" s="830" t="s">
        <v>4794</v>
      </c>
      <c r="F1052" s="830" t="s">
        <v>4794</v>
      </c>
      <c r="G1052" s="830" t="s">
        <v>4794</v>
      </c>
      <c r="H1052" s="830"/>
      <c r="I1052" s="831">
        <v>2</v>
      </c>
      <c r="J1052" s="830" t="s">
        <v>4794</v>
      </c>
      <c r="K1052" s="830" t="s">
        <v>4794</v>
      </c>
      <c r="L1052" s="830" t="s">
        <v>4794</v>
      </c>
      <c r="M1052" s="830" t="s">
        <v>4794</v>
      </c>
      <c r="N1052" s="830" t="s">
        <v>4794</v>
      </c>
      <c r="O1052" s="830" t="s">
        <v>4794</v>
      </c>
      <c r="P1052" s="830" t="s">
        <v>4794</v>
      </c>
      <c r="Q1052" s="832">
        <f t="shared" si="14"/>
        <v>2</v>
      </c>
      <c r="R1052" s="833" t="s">
        <v>4025</v>
      </c>
      <c r="S1052" s="859"/>
      <c r="T1052" s="859"/>
      <c r="U1052" s="859"/>
      <c r="V1052" s="859"/>
      <c r="W1052" s="859"/>
      <c r="X1052" s="859"/>
      <c r="Y1052" s="859"/>
      <c r="Z1052" s="859"/>
      <c r="AA1052" s="859"/>
      <c r="AB1052" s="859"/>
      <c r="AC1052" s="859"/>
      <c r="AD1052" s="859"/>
      <c r="AE1052" s="859"/>
      <c r="AF1052" s="859"/>
    </row>
    <row r="1053" spans="1:32" ht="42">
      <c r="A1053" s="827">
        <v>1018</v>
      </c>
      <c r="B1053" s="828" t="s">
        <v>544</v>
      </c>
      <c r="C1053" s="828" t="s">
        <v>585</v>
      </c>
      <c r="D1053" s="829" t="s">
        <v>586</v>
      </c>
      <c r="E1053" s="830" t="s">
        <v>4794</v>
      </c>
      <c r="F1053" s="830" t="s">
        <v>4794</v>
      </c>
      <c r="G1053" s="830" t="s">
        <v>4794</v>
      </c>
      <c r="H1053" s="830" t="s">
        <v>4794</v>
      </c>
      <c r="I1053" s="831">
        <v>1</v>
      </c>
      <c r="J1053" s="830" t="s">
        <v>4794</v>
      </c>
      <c r="K1053" s="830" t="s">
        <v>4794</v>
      </c>
      <c r="L1053" s="830" t="s">
        <v>4794</v>
      </c>
      <c r="M1053" s="830" t="s">
        <v>4794</v>
      </c>
      <c r="N1053" s="830"/>
      <c r="O1053" s="830" t="s">
        <v>4794</v>
      </c>
      <c r="P1053" s="830"/>
      <c r="Q1053" s="832">
        <f t="shared" si="14"/>
        <v>1</v>
      </c>
      <c r="R1053" s="833" t="s">
        <v>4025</v>
      </c>
      <c r="S1053" s="859"/>
      <c r="T1053" s="859"/>
      <c r="U1053" s="859"/>
      <c r="V1053" s="859"/>
      <c r="W1053" s="859"/>
      <c r="X1053" s="859"/>
      <c r="Y1053" s="859"/>
      <c r="Z1053" s="859"/>
      <c r="AA1053" s="859"/>
      <c r="AB1053" s="859"/>
      <c r="AC1053" s="859"/>
      <c r="AD1053" s="859"/>
      <c r="AE1053" s="859"/>
      <c r="AF1053" s="859"/>
    </row>
    <row r="1054" spans="1:32" ht="42">
      <c r="A1054" s="827">
        <v>1019</v>
      </c>
      <c r="B1054" s="828" t="s">
        <v>544</v>
      </c>
      <c r="C1054" s="828" t="s">
        <v>587</v>
      </c>
      <c r="D1054" s="829" t="s">
        <v>588</v>
      </c>
      <c r="E1054" s="830" t="s">
        <v>4794</v>
      </c>
      <c r="F1054" s="830" t="s">
        <v>4794</v>
      </c>
      <c r="G1054" s="831">
        <v>1</v>
      </c>
      <c r="H1054" s="830" t="s">
        <v>4794</v>
      </c>
      <c r="I1054" s="830" t="s">
        <v>4794</v>
      </c>
      <c r="J1054" s="831">
        <v>1</v>
      </c>
      <c r="K1054" s="830" t="s">
        <v>4794</v>
      </c>
      <c r="L1054" s="830" t="s">
        <v>4794</v>
      </c>
      <c r="M1054" s="831">
        <v>1</v>
      </c>
      <c r="N1054" s="830" t="s">
        <v>4794</v>
      </c>
      <c r="O1054" s="830" t="s">
        <v>4794</v>
      </c>
      <c r="P1054" s="830" t="s">
        <v>4794</v>
      </c>
      <c r="Q1054" s="832">
        <f t="shared" si="14"/>
        <v>3</v>
      </c>
      <c r="R1054" s="833" t="s">
        <v>4025</v>
      </c>
      <c r="S1054" s="859"/>
      <c r="T1054" s="859"/>
      <c r="U1054" s="859"/>
      <c r="V1054" s="859"/>
      <c r="W1054" s="859"/>
      <c r="X1054" s="859"/>
      <c r="Y1054" s="859"/>
      <c r="Z1054" s="859"/>
      <c r="AA1054" s="859"/>
      <c r="AB1054" s="859"/>
      <c r="AC1054" s="859"/>
      <c r="AD1054" s="859"/>
      <c r="AE1054" s="859"/>
      <c r="AF1054" s="859"/>
    </row>
    <row r="1055" spans="1:32" ht="31.5">
      <c r="A1055" s="827">
        <v>1020</v>
      </c>
      <c r="B1055" s="828" t="s">
        <v>544</v>
      </c>
      <c r="C1055" s="828" t="s">
        <v>589</v>
      </c>
      <c r="D1055" s="829" t="s">
        <v>590</v>
      </c>
      <c r="E1055" s="830" t="s">
        <v>4794</v>
      </c>
      <c r="F1055" s="830" t="s">
        <v>4794</v>
      </c>
      <c r="G1055" s="830" t="s">
        <v>4794</v>
      </c>
      <c r="H1055" s="830" t="s">
        <v>4794</v>
      </c>
      <c r="I1055" s="831">
        <v>5</v>
      </c>
      <c r="J1055" s="830" t="s">
        <v>4794</v>
      </c>
      <c r="K1055" s="831">
        <v>5</v>
      </c>
      <c r="L1055" s="830" t="s">
        <v>4794</v>
      </c>
      <c r="M1055" s="830" t="s">
        <v>4794</v>
      </c>
      <c r="N1055" s="830" t="s">
        <v>4794</v>
      </c>
      <c r="O1055" s="830" t="s">
        <v>4794</v>
      </c>
      <c r="P1055" s="830" t="s">
        <v>4794</v>
      </c>
      <c r="Q1055" s="832">
        <f t="shared" si="14"/>
        <v>10</v>
      </c>
      <c r="R1055" s="833" t="s">
        <v>4025</v>
      </c>
      <c r="S1055" s="859"/>
      <c r="T1055" s="859"/>
      <c r="U1055" s="859"/>
      <c r="V1055" s="859"/>
      <c r="W1055" s="859"/>
      <c r="X1055" s="859"/>
      <c r="Y1055" s="859"/>
      <c r="Z1055" s="859"/>
      <c r="AA1055" s="859"/>
      <c r="AB1055" s="859"/>
      <c r="AC1055" s="859"/>
      <c r="AD1055" s="859"/>
      <c r="AE1055" s="859"/>
      <c r="AF1055" s="859"/>
    </row>
    <row r="1056" spans="1:32" ht="52.5">
      <c r="A1056" s="827">
        <v>1021</v>
      </c>
      <c r="B1056" s="828" t="s">
        <v>544</v>
      </c>
      <c r="C1056" s="828" t="s">
        <v>591</v>
      </c>
      <c r="D1056" s="829" t="s">
        <v>592</v>
      </c>
      <c r="E1056" s="830" t="s">
        <v>4794</v>
      </c>
      <c r="F1056" s="830" t="s">
        <v>4794</v>
      </c>
      <c r="G1056" s="830" t="s">
        <v>4794</v>
      </c>
      <c r="H1056" s="830"/>
      <c r="I1056" s="830" t="s">
        <v>4794</v>
      </c>
      <c r="J1056" s="831">
        <v>1</v>
      </c>
      <c r="K1056" s="830" t="s">
        <v>4794</v>
      </c>
      <c r="L1056" s="830" t="s">
        <v>4794</v>
      </c>
      <c r="M1056" s="830" t="s">
        <v>4794</v>
      </c>
      <c r="N1056" s="830" t="s">
        <v>4794</v>
      </c>
      <c r="O1056" s="830" t="s">
        <v>4794</v>
      </c>
      <c r="P1056" s="830" t="s">
        <v>4794</v>
      </c>
      <c r="Q1056" s="832">
        <f t="shared" si="14"/>
        <v>1</v>
      </c>
      <c r="R1056" s="833" t="s">
        <v>4025</v>
      </c>
      <c r="S1056" s="859"/>
      <c r="T1056" s="859"/>
      <c r="U1056" s="859"/>
      <c r="V1056" s="859"/>
      <c r="W1056" s="859"/>
      <c r="X1056" s="859"/>
      <c r="Y1056" s="859"/>
      <c r="Z1056" s="859"/>
      <c r="AA1056" s="859"/>
      <c r="AB1056" s="859"/>
      <c r="AC1056" s="859"/>
      <c r="AD1056" s="859"/>
      <c r="AE1056" s="859"/>
      <c r="AF1056" s="859"/>
    </row>
    <row r="1057" spans="1:32" ht="52.5">
      <c r="A1057" s="827">
        <v>1022</v>
      </c>
      <c r="B1057" s="828" t="s">
        <v>544</v>
      </c>
      <c r="C1057" s="828" t="s">
        <v>593</v>
      </c>
      <c r="D1057" s="829" t="s">
        <v>594</v>
      </c>
      <c r="E1057" s="830" t="s">
        <v>4794</v>
      </c>
      <c r="F1057" s="830" t="s">
        <v>4794</v>
      </c>
      <c r="G1057" s="830"/>
      <c r="H1057" s="830" t="s">
        <v>4794</v>
      </c>
      <c r="I1057" s="830" t="s">
        <v>4794</v>
      </c>
      <c r="J1057" s="831">
        <v>1</v>
      </c>
      <c r="K1057" s="830" t="s">
        <v>4794</v>
      </c>
      <c r="L1057" s="830" t="s">
        <v>4794</v>
      </c>
      <c r="M1057" s="830" t="s">
        <v>4794</v>
      </c>
      <c r="N1057" s="830" t="s">
        <v>4794</v>
      </c>
      <c r="O1057" s="830" t="s">
        <v>4794</v>
      </c>
      <c r="P1057" s="830" t="s">
        <v>4794</v>
      </c>
      <c r="Q1057" s="832">
        <f t="shared" si="14"/>
        <v>1</v>
      </c>
      <c r="R1057" s="833" t="s">
        <v>4025</v>
      </c>
      <c r="S1057" s="859"/>
      <c r="T1057" s="859"/>
      <c r="U1057" s="859"/>
      <c r="V1057" s="859"/>
      <c r="W1057" s="859"/>
      <c r="X1057" s="859"/>
      <c r="Y1057" s="859"/>
      <c r="Z1057" s="859"/>
      <c r="AA1057" s="859"/>
      <c r="AB1057" s="859"/>
      <c r="AC1057" s="859"/>
      <c r="AD1057" s="859"/>
      <c r="AE1057" s="859"/>
      <c r="AF1057" s="859"/>
    </row>
    <row r="1058" spans="1:32" ht="52.5">
      <c r="A1058" s="827">
        <v>1023</v>
      </c>
      <c r="B1058" s="828" t="s">
        <v>544</v>
      </c>
      <c r="C1058" s="828" t="s">
        <v>595</v>
      </c>
      <c r="D1058" s="829" t="s">
        <v>596</v>
      </c>
      <c r="E1058" s="830" t="s">
        <v>4794</v>
      </c>
      <c r="F1058" s="830" t="s">
        <v>4794</v>
      </c>
      <c r="G1058" s="831">
        <v>1</v>
      </c>
      <c r="H1058" s="830" t="s">
        <v>4794</v>
      </c>
      <c r="I1058" s="831">
        <v>2</v>
      </c>
      <c r="J1058" s="830" t="s">
        <v>4794</v>
      </c>
      <c r="K1058" s="830" t="s">
        <v>4794</v>
      </c>
      <c r="L1058" s="831">
        <v>2</v>
      </c>
      <c r="M1058" s="830" t="s">
        <v>4794</v>
      </c>
      <c r="N1058" s="830" t="s">
        <v>4794</v>
      </c>
      <c r="O1058" s="830" t="s">
        <v>4794</v>
      </c>
      <c r="P1058" s="830" t="s">
        <v>4794</v>
      </c>
      <c r="Q1058" s="832">
        <f t="shared" si="14"/>
        <v>5</v>
      </c>
      <c r="R1058" s="833" t="s">
        <v>4025</v>
      </c>
      <c r="S1058" s="859"/>
      <c r="T1058" s="859"/>
      <c r="U1058" s="859"/>
      <c r="V1058" s="859"/>
      <c r="W1058" s="859"/>
      <c r="X1058" s="859"/>
      <c r="Y1058" s="859"/>
      <c r="Z1058" s="859"/>
      <c r="AA1058" s="859"/>
      <c r="AB1058" s="859"/>
      <c r="AC1058" s="859"/>
      <c r="AD1058" s="859"/>
      <c r="AE1058" s="859"/>
      <c r="AF1058" s="859"/>
    </row>
    <row r="1059" spans="1:32" ht="52.5">
      <c r="A1059" s="827">
        <v>1024</v>
      </c>
      <c r="B1059" s="828" t="s">
        <v>544</v>
      </c>
      <c r="C1059" s="828" t="s">
        <v>597</v>
      </c>
      <c r="D1059" s="829" t="s">
        <v>598</v>
      </c>
      <c r="E1059" s="830" t="s">
        <v>4794</v>
      </c>
      <c r="F1059" s="830"/>
      <c r="G1059" s="831">
        <v>1</v>
      </c>
      <c r="H1059" s="830" t="s">
        <v>4794</v>
      </c>
      <c r="I1059" s="831">
        <v>2</v>
      </c>
      <c r="J1059" s="830" t="s">
        <v>4794</v>
      </c>
      <c r="K1059" s="830" t="s">
        <v>4794</v>
      </c>
      <c r="L1059" s="831">
        <v>2</v>
      </c>
      <c r="M1059" s="830" t="s">
        <v>4794</v>
      </c>
      <c r="N1059" s="831">
        <v>1</v>
      </c>
      <c r="O1059" s="830" t="s">
        <v>4794</v>
      </c>
      <c r="P1059" s="830" t="s">
        <v>4794</v>
      </c>
      <c r="Q1059" s="832">
        <f t="shared" si="14"/>
        <v>6</v>
      </c>
      <c r="R1059" s="833" t="s">
        <v>4025</v>
      </c>
      <c r="S1059" s="859"/>
      <c r="T1059" s="859"/>
      <c r="U1059" s="859"/>
      <c r="V1059" s="859"/>
      <c r="W1059" s="859"/>
      <c r="X1059" s="859"/>
      <c r="Y1059" s="859"/>
      <c r="Z1059" s="859"/>
      <c r="AA1059" s="859"/>
      <c r="AB1059" s="859"/>
      <c r="AC1059" s="859"/>
      <c r="AD1059" s="859"/>
      <c r="AE1059" s="859"/>
      <c r="AF1059" s="859"/>
    </row>
    <row r="1060" spans="1:32" ht="52.5">
      <c r="A1060" s="827">
        <v>1025</v>
      </c>
      <c r="B1060" s="828" t="s">
        <v>544</v>
      </c>
      <c r="C1060" s="828" t="s">
        <v>599</v>
      </c>
      <c r="D1060" s="829" t="s">
        <v>600</v>
      </c>
      <c r="E1060" s="830"/>
      <c r="F1060" s="830" t="s">
        <v>4794</v>
      </c>
      <c r="G1060" s="830"/>
      <c r="H1060" s="830" t="s">
        <v>4794</v>
      </c>
      <c r="I1060" s="831">
        <v>2</v>
      </c>
      <c r="J1060" s="830" t="s">
        <v>4794</v>
      </c>
      <c r="K1060" s="831">
        <v>1</v>
      </c>
      <c r="L1060" s="830" t="s">
        <v>4794</v>
      </c>
      <c r="M1060" s="831">
        <v>1</v>
      </c>
      <c r="N1060" s="830"/>
      <c r="O1060" s="830" t="s">
        <v>4794</v>
      </c>
      <c r="P1060" s="830" t="s">
        <v>4794</v>
      </c>
      <c r="Q1060" s="832">
        <f t="shared" si="14"/>
        <v>4</v>
      </c>
      <c r="R1060" s="833" t="s">
        <v>4025</v>
      </c>
      <c r="S1060" s="859"/>
      <c r="T1060" s="859"/>
      <c r="U1060" s="859"/>
      <c r="V1060" s="859"/>
      <c r="W1060" s="859"/>
      <c r="X1060" s="859"/>
      <c r="Y1060" s="859"/>
      <c r="Z1060" s="859"/>
      <c r="AA1060" s="859"/>
      <c r="AB1060" s="859"/>
      <c r="AC1060" s="859"/>
      <c r="AD1060" s="859"/>
      <c r="AE1060" s="859"/>
      <c r="AF1060" s="859"/>
    </row>
    <row r="1061" spans="1:32" ht="52.5">
      <c r="A1061" s="827">
        <v>1026</v>
      </c>
      <c r="B1061" s="828" t="s">
        <v>544</v>
      </c>
      <c r="C1061" s="828" t="s">
        <v>601</v>
      </c>
      <c r="D1061" s="829" t="s">
        <v>602</v>
      </c>
      <c r="E1061" s="831">
        <v>1</v>
      </c>
      <c r="F1061" s="830" t="s">
        <v>4794</v>
      </c>
      <c r="G1061" s="830" t="s">
        <v>4794</v>
      </c>
      <c r="H1061" s="831">
        <v>1</v>
      </c>
      <c r="I1061" s="830" t="s">
        <v>4794</v>
      </c>
      <c r="J1061" s="831">
        <v>2</v>
      </c>
      <c r="K1061" s="830" t="s">
        <v>4794</v>
      </c>
      <c r="L1061" s="830" t="s">
        <v>4794</v>
      </c>
      <c r="M1061" s="831">
        <v>1</v>
      </c>
      <c r="N1061" s="830" t="s">
        <v>4794</v>
      </c>
      <c r="O1061" s="830"/>
      <c r="P1061" s="830" t="s">
        <v>4794</v>
      </c>
      <c r="Q1061" s="832">
        <f t="shared" si="14"/>
        <v>5</v>
      </c>
      <c r="R1061" s="833" t="s">
        <v>4025</v>
      </c>
      <c r="S1061" s="859"/>
      <c r="T1061" s="859"/>
      <c r="U1061" s="859"/>
      <c r="V1061" s="859"/>
      <c r="W1061" s="859"/>
      <c r="X1061" s="859"/>
      <c r="Y1061" s="859"/>
      <c r="Z1061" s="859"/>
      <c r="AA1061" s="859"/>
      <c r="AB1061" s="859"/>
      <c r="AC1061" s="859"/>
      <c r="AD1061" s="859"/>
      <c r="AE1061" s="859"/>
      <c r="AF1061" s="859"/>
    </row>
    <row r="1062" spans="1:32" ht="52.5">
      <c r="A1062" s="827">
        <v>1027</v>
      </c>
      <c r="B1062" s="828" t="s">
        <v>544</v>
      </c>
      <c r="C1062" s="828" t="s">
        <v>603</v>
      </c>
      <c r="D1062" s="829" t="s">
        <v>604</v>
      </c>
      <c r="E1062" s="831">
        <v>1</v>
      </c>
      <c r="F1062" s="830" t="s">
        <v>4794</v>
      </c>
      <c r="G1062" s="830"/>
      <c r="H1062" s="830" t="s">
        <v>4794</v>
      </c>
      <c r="I1062" s="830" t="s">
        <v>4794</v>
      </c>
      <c r="J1062" s="831">
        <v>2</v>
      </c>
      <c r="K1062" s="831">
        <v>1</v>
      </c>
      <c r="L1062" s="830" t="s">
        <v>4794</v>
      </c>
      <c r="M1062" s="831">
        <v>1</v>
      </c>
      <c r="N1062" s="830"/>
      <c r="O1062" s="830" t="s">
        <v>4794</v>
      </c>
      <c r="P1062" s="830" t="s">
        <v>4794</v>
      </c>
      <c r="Q1062" s="832">
        <f t="shared" si="14"/>
        <v>5</v>
      </c>
      <c r="R1062" s="833" t="s">
        <v>4025</v>
      </c>
      <c r="S1062" s="859"/>
      <c r="T1062" s="859"/>
      <c r="U1062" s="859"/>
      <c r="V1062" s="859"/>
      <c r="W1062" s="859"/>
      <c r="X1062" s="859"/>
      <c r="Y1062" s="859"/>
      <c r="Z1062" s="859"/>
      <c r="AA1062" s="859"/>
      <c r="AB1062" s="859"/>
      <c r="AC1062" s="859"/>
      <c r="AD1062" s="859"/>
      <c r="AE1062" s="859"/>
      <c r="AF1062" s="859"/>
    </row>
    <row r="1063" spans="1:32" ht="42">
      <c r="A1063" s="827">
        <v>1028</v>
      </c>
      <c r="B1063" s="828" t="s">
        <v>544</v>
      </c>
      <c r="C1063" s="828" t="s">
        <v>605</v>
      </c>
      <c r="D1063" s="829" t="s">
        <v>606</v>
      </c>
      <c r="E1063" s="831">
        <v>1</v>
      </c>
      <c r="F1063" s="830"/>
      <c r="G1063" s="830" t="s">
        <v>4794</v>
      </c>
      <c r="H1063" s="831">
        <v>1</v>
      </c>
      <c r="I1063" s="830" t="s">
        <v>4794</v>
      </c>
      <c r="J1063" s="831">
        <v>2</v>
      </c>
      <c r="K1063" s="830" t="s">
        <v>4794</v>
      </c>
      <c r="L1063" s="830"/>
      <c r="M1063" s="831">
        <v>1</v>
      </c>
      <c r="N1063" s="830" t="s">
        <v>4794</v>
      </c>
      <c r="O1063" s="830" t="s">
        <v>4794</v>
      </c>
      <c r="P1063" s="830" t="s">
        <v>4794</v>
      </c>
      <c r="Q1063" s="832">
        <f t="shared" si="14"/>
        <v>5</v>
      </c>
      <c r="R1063" s="833" t="s">
        <v>4025</v>
      </c>
      <c r="S1063" s="859"/>
      <c r="T1063" s="859"/>
      <c r="U1063" s="859"/>
      <c r="V1063" s="859"/>
      <c r="W1063" s="859"/>
      <c r="X1063" s="859"/>
      <c r="Y1063" s="859"/>
      <c r="Z1063" s="859"/>
      <c r="AA1063" s="859"/>
      <c r="AB1063" s="859"/>
      <c r="AC1063" s="859"/>
      <c r="AD1063" s="859"/>
      <c r="AE1063" s="859"/>
      <c r="AF1063" s="859"/>
    </row>
    <row r="1064" spans="1:32" ht="21">
      <c r="A1064" s="827">
        <v>1029</v>
      </c>
      <c r="B1064" s="828" t="s">
        <v>544</v>
      </c>
      <c r="C1064" s="828" t="s">
        <v>607</v>
      </c>
      <c r="D1064" s="829" t="s">
        <v>608</v>
      </c>
      <c r="E1064" s="830" t="s">
        <v>4794</v>
      </c>
      <c r="F1064" s="830" t="s">
        <v>4794</v>
      </c>
      <c r="G1064" s="830" t="s">
        <v>4794</v>
      </c>
      <c r="H1064" s="830" t="s">
        <v>4794</v>
      </c>
      <c r="I1064" s="831">
        <v>50</v>
      </c>
      <c r="J1064" s="830" t="s">
        <v>4794</v>
      </c>
      <c r="K1064" s="831">
        <v>50</v>
      </c>
      <c r="L1064" s="830" t="s">
        <v>4794</v>
      </c>
      <c r="M1064" s="830" t="s">
        <v>4794</v>
      </c>
      <c r="N1064" s="830" t="s">
        <v>4794</v>
      </c>
      <c r="O1064" s="830" t="s">
        <v>4794</v>
      </c>
      <c r="P1064" s="830" t="s">
        <v>4794</v>
      </c>
      <c r="Q1064" s="832">
        <f t="shared" si="14"/>
        <v>100</v>
      </c>
      <c r="R1064" s="833" t="s">
        <v>2261</v>
      </c>
      <c r="S1064" s="859"/>
      <c r="T1064" s="859"/>
      <c r="U1064" s="859"/>
      <c r="V1064" s="859"/>
      <c r="W1064" s="859"/>
      <c r="X1064" s="859"/>
      <c r="Y1064" s="859"/>
      <c r="Z1064" s="859"/>
      <c r="AA1064" s="859"/>
      <c r="AB1064" s="859"/>
      <c r="AC1064" s="859"/>
      <c r="AD1064" s="859"/>
      <c r="AE1064" s="859"/>
      <c r="AF1064" s="859"/>
    </row>
    <row r="1065" spans="1:32" ht="21">
      <c r="A1065" s="827">
        <v>1030</v>
      </c>
      <c r="B1065" s="828" t="s">
        <v>544</v>
      </c>
      <c r="C1065" s="828" t="s">
        <v>609</v>
      </c>
      <c r="D1065" s="829" t="s">
        <v>610</v>
      </c>
      <c r="E1065" s="831">
        <v>4</v>
      </c>
      <c r="F1065" s="831">
        <v>4</v>
      </c>
      <c r="G1065" s="831">
        <v>4</v>
      </c>
      <c r="H1065" s="831">
        <v>4</v>
      </c>
      <c r="I1065" s="831">
        <v>4</v>
      </c>
      <c r="J1065" s="831">
        <v>4</v>
      </c>
      <c r="K1065" s="831">
        <v>4</v>
      </c>
      <c r="L1065" s="831">
        <v>4</v>
      </c>
      <c r="M1065" s="831">
        <v>4</v>
      </c>
      <c r="N1065" s="831">
        <v>4</v>
      </c>
      <c r="O1065" s="831">
        <v>4</v>
      </c>
      <c r="P1065" s="831">
        <v>4</v>
      </c>
      <c r="Q1065" s="832">
        <f t="shared" si="14"/>
        <v>48</v>
      </c>
      <c r="R1065" s="833" t="s">
        <v>4025</v>
      </c>
      <c r="S1065" s="859"/>
      <c r="T1065" s="859"/>
      <c r="U1065" s="859"/>
      <c r="V1065" s="859"/>
      <c r="W1065" s="859"/>
      <c r="X1065" s="859"/>
      <c r="Y1065" s="859"/>
      <c r="Z1065" s="859"/>
      <c r="AA1065" s="859"/>
      <c r="AB1065" s="859"/>
      <c r="AC1065" s="859"/>
      <c r="AD1065" s="859"/>
      <c r="AE1065" s="859"/>
      <c r="AF1065" s="859"/>
    </row>
    <row r="1066" spans="1:32" ht="42">
      <c r="A1066" s="827">
        <v>1031</v>
      </c>
      <c r="B1066" s="828" t="s">
        <v>544</v>
      </c>
      <c r="C1066" s="828" t="s">
        <v>611</v>
      </c>
      <c r="D1066" s="829" t="s">
        <v>612</v>
      </c>
      <c r="E1066" s="830" t="s">
        <v>4794</v>
      </c>
      <c r="F1066" s="830"/>
      <c r="G1066" s="830" t="s">
        <v>4794</v>
      </c>
      <c r="H1066" s="830" t="s">
        <v>4794</v>
      </c>
      <c r="I1066" s="830" t="s">
        <v>4794</v>
      </c>
      <c r="J1066" s="830"/>
      <c r="K1066" s="831">
        <v>1</v>
      </c>
      <c r="L1066" s="830" t="s">
        <v>4794</v>
      </c>
      <c r="M1066" s="830" t="s">
        <v>4794</v>
      </c>
      <c r="N1066" s="830" t="s">
        <v>4794</v>
      </c>
      <c r="O1066" s="830" t="s">
        <v>4794</v>
      </c>
      <c r="P1066" s="830" t="s">
        <v>4794</v>
      </c>
      <c r="Q1066" s="832">
        <f t="shared" si="14"/>
        <v>1</v>
      </c>
      <c r="R1066" s="833" t="s">
        <v>4025</v>
      </c>
      <c r="S1066" s="859"/>
      <c r="T1066" s="859"/>
      <c r="U1066" s="859"/>
      <c r="V1066" s="859"/>
      <c r="W1066" s="859"/>
      <c r="X1066" s="859"/>
      <c r="Y1066" s="859"/>
      <c r="Z1066" s="859"/>
      <c r="AA1066" s="859"/>
      <c r="AB1066" s="859"/>
      <c r="AC1066" s="859"/>
      <c r="AD1066" s="859"/>
      <c r="AE1066" s="859"/>
      <c r="AF1066" s="859"/>
    </row>
    <row r="1067" spans="1:32" ht="21">
      <c r="A1067" s="827">
        <v>1032</v>
      </c>
      <c r="B1067" s="828" t="s">
        <v>544</v>
      </c>
      <c r="C1067" s="828" t="s">
        <v>613</v>
      </c>
      <c r="D1067" s="829" t="s">
        <v>614</v>
      </c>
      <c r="E1067" s="831">
        <v>2</v>
      </c>
      <c r="F1067" s="830" t="s">
        <v>4794</v>
      </c>
      <c r="G1067" s="831">
        <v>2</v>
      </c>
      <c r="H1067" s="831">
        <v>2</v>
      </c>
      <c r="I1067" s="830"/>
      <c r="J1067" s="830" t="s">
        <v>4794</v>
      </c>
      <c r="K1067" s="830"/>
      <c r="L1067" s="830" t="s">
        <v>4794</v>
      </c>
      <c r="M1067" s="830"/>
      <c r="N1067" s="830" t="s">
        <v>4794</v>
      </c>
      <c r="O1067" s="831">
        <v>2</v>
      </c>
      <c r="P1067" s="830" t="s">
        <v>4794</v>
      </c>
      <c r="Q1067" s="832">
        <f t="shared" si="14"/>
        <v>8</v>
      </c>
      <c r="R1067" s="833" t="s">
        <v>4025</v>
      </c>
      <c r="S1067" s="859"/>
      <c r="T1067" s="859"/>
      <c r="U1067" s="859"/>
      <c r="V1067" s="859"/>
      <c r="W1067" s="859"/>
      <c r="X1067" s="859"/>
      <c r="Y1067" s="859"/>
      <c r="Z1067" s="859"/>
      <c r="AA1067" s="859"/>
      <c r="AB1067" s="859"/>
      <c r="AC1067" s="859"/>
      <c r="AD1067" s="859"/>
      <c r="AE1067" s="859"/>
      <c r="AF1067" s="859"/>
    </row>
    <row r="1068" spans="1:32" ht="21">
      <c r="A1068" s="827">
        <v>1033</v>
      </c>
      <c r="B1068" s="828" t="s">
        <v>544</v>
      </c>
      <c r="C1068" s="828" t="s">
        <v>615</v>
      </c>
      <c r="D1068" s="829" t="s">
        <v>616</v>
      </c>
      <c r="E1068" s="830" t="s">
        <v>4794</v>
      </c>
      <c r="F1068" s="831">
        <v>2</v>
      </c>
      <c r="G1068" s="830" t="s">
        <v>4794</v>
      </c>
      <c r="H1068" s="830" t="s">
        <v>4794</v>
      </c>
      <c r="I1068" s="831">
        <v>2</v>
      </c>
      <c r="J1068" s="831">
        <v>2</v>
      </c>
      <c r="K1068" s="831">
        <v>2</v>
      </c>
      <c r="L1068" s="830"/>
      <c r="M1068" s="830" t="s">
        <v>4794</v>
      </c>
      <c r="N1068" s="831">
        <v>2</v>
      </c>
      <c r="O1068" s="830" t="s">
        <v>4794</v>
      </c>
      <c r="P1068" s="831">
        <v>2</v>
      </c>
      <c r="Q1068" s="832">
        <f t="shared" si="14"/>
        <v>12</v>
      </c>
      <c r="R1068" s="833" t="s">
        <v>4025</v>
      </c>
      <c r="S1068" s="859"/>
      <c r="T1068" s="859"/>
      <c r="U1068" s="859"/>
      <c r="V1068" s="859"/>
      <c r="W1068" s="859"/>
      <c r="X1068" s="859"/>
      <c r="Y1068" s="859"/>
      <c r="Z1068" s="859"/>
      <c r="AA1068" s="859"/>
      <c r="AB1068" s="859"/>
      <c r="AC1068" s="859"/>
      <c r="AD1068" s="859"/>
      <c r="AE1068" s="859"/>
      <c r="AF1068" s="859"/>
    </row>
    <row r="1069" spans="1:32" ht="21">
      <c r="A1069" s="827">
        <v>1034</v>
      </c>
      <c r="B1069" s="828" t="s">
        <v>544</v>
      </c>
      <c r="C1069" s="828" t="s">
        <v>617</v>
      </c>
      <c r="D1069" s="829" t="s">
        <v>2068</v>
      </c>
      <c r="E1069" s="831">
        <v>2</v>
      </c>
      <c r="F1069" s="830" t="s">
        <v>4794</v>
      </c>
      <c r="G1069" s="831">
        <v>2</v>
      </c>
      <c r="H1069" s="830" t="s">
        <v>4794</v>
      </c>
      <c r="I1069" s="830" t="s">
        <v>4794</v>
      </c>
      <c r="J1069" s="830" t="s">
        <v>4794</v>
      </c>
      <c r="K1069" s="831">
        <v>2</v>
      </c>
      <c r="L1069" s="830" t="s">
        <v>4794</v>
      </c>
      <c r="M1069" s="831">
        <v>2</v>
      </c>
      <c r="N1069" s="831">
        <v>2</v>
      </c>
      <c r="O1069" s="831">
        <v>2</v>
      </c>
      <c r="P1069" s="830" t="s">
        <v>4794</v>
      </c>
      <c r="Q1069" s="832">
        <f t="shared" si="14"/>
        <v>12</v>
      </c>
      <c r="R1069" s="833" t="s">
        <v>4025</v>
      </c>
      <c r="S1069" s="859"/>
      <c r="T1069" s="859"/>
      <c r="U1069" s="859"/>
      <c r="V1069" s="859"/>
      <c r="W1069" s="859"/>
      <c r="X1069" s="859"/>
      <c r="Y1069" s="859"/>
      <c r="Z1069" s="859"/>
      <c r="AA1069" s="859"/>
      <c r="AB1069" s="859"/>
      <c r="AC1069" s="859"/>
      <c r="AD1069" s="859"/>
      <c r="AE1069" s="859"/>
      <c r="AF1069" s="859"/>
    </row>
    <row r="1070" spans="1:32" ht="21">
      <c r="A1070" s="827">
        <v>1035</v>
      </c>
      <c r="B1070" s="828" t="s">
        <v>544</v>
      </c>
      <c r="C1070" s="828" t="s">
        <v>2069</v>
      </c>
      <c r="D1070" s="829" t="s">
        <v>2070</v>
      </c>
      <c r="E1070" s="830" t="s">
        <v>4794</v>
      </c>
      <c r="F1070" s="830" t="s">
        <v>4794</v>
      </c>
      <c r="G1070" s="830"/>
      <c r="H1070" s="830" t="s">
        <v>4794</v>
      </c>
      <c r="I1070" s="831">
        <v>1</v>
      </c>
      <c r="J1070" s="830" t="s">
        <v>4794</v>
      </c>
      <c r="K1070" s="830"/>
      <c r="L1070" s="830" t="s">
        <v>4794</v>
      </c>
      <c r="M1070" s="830"/>
      <c r="N1070" s="830"/>
      <c r="O1070" s="830"/>
      <c r="P1070" s="830"/>
      <c r="Q1070" s="832">
        <f t="shared" si="14"/>
        <v>1</v>
      </c>
      <c r="R1070" s="833" t="s">
        <v>4025</v>
      </c>
      <c r="S1070" s="859"/>
      <c r="T1070" s="859"/>
      <c r="U1070" s="859"/>
      <c r="V1070" s="859"/>
      <c r="W1070" s="859"/>
      <c r="X1070" s="859"/>
      <c r="Y1070" s="859"/>
      <c r="Z1070" s="859"/>
      <c r="AA1070" s="859"/>
      <c r="AB1070" s="859"/>
      <c r="AC1070" s="859"/>
      <c r="AD1070" s="859"/>
      <c r="AE1070" s="859"/>
      <c r="AF1070" s="859"/>
    </row>
    <row r="1071" spans="1:32" ht="42">
      <c r="A1071" s="827">
        <v>1036</v>
      </c>
      <c r="B1071" s="828" t="s">
        <v>544</v>
      </c>
      <c r="C1071" s="828" t="s">
        <v>2071</v>
      </c>
      <c r="D1071" s="829" t="s">
        <v>2072</v>
      </c>
      <c r="E1071" s="830"/>
      <c r="F1071" s="830"/>
      <c r="G1071" s="830"/>
      <c r="H1071" s="830"/>
      <c r="I1071" s="831">
        <v>1</v>
      </c>
      <c r="J1071" s="830"/>
      <c r="K1071" s="830"/>
      <c r="L1071" s="830"/>
      <c r="M1071" s="830"/>
      <c r="N1071" s="830"/>
      <c r="O1071" s="830"/>
      <c r="P1071" s="830"/>
      <c r="Q1071" s="832">
        <f t="shared" si="14"/>
        <v>1</v>
      </c>
      <c r="R1071" s="833" t="s">
        <v>4025</v>
      </c>
      <c r="S1071" s="859"/>
      <c r="T1071" s="859"/>
      <c r="U1071" s="859"/>
      <c r="V1071" s="859"/>
      <c r="W1071" s="859"/>
      <c r="X1071" s="859"/>
      <c r="Y1071" s="859"/>
      <c r="Z1071" s="859"/>
      <c r="AA1071" s="859"/>
      <c r="AB1071" s="859"/>
      <c r="AC1071" s="859"/>
      <c r="AD1071" s="859"/>
      <c r="AE1071" s="859"/>
      <c r="AF1071" s="859"/>
    </row>
    <row r="1072" spans="1:32" ht="42">
      <c r="A1072" s="827">
        <v>1037</v>
      </c>
      <c r="B1072" s="828" t="s">
        <v>544</v>
      </c>
      <c r="C1072" s="828" t="s">
        <v>2073</v>
      </c>
      <c r="D1072" s="829" t="s">
        <v>2074</v>
      </c>
      <c r="E1072" s="830"/>
      <c r="F1072" s="831">
        <v>5</v>
      </c>
      <c r="G1072" s="830"/>
      <c r="H1072" s="831">
        <v>5</v>
      </c>
      <c r="I1072" s="830"/>
      <c r="J1072" s="831">
        <v>5</v>
      </c>
      <c r="K1072" s="830"/>
      <c r="L1072" s="830"/>
      <c r="M1072" s="831">
        <v>5</v>
      </c>
      <c r="N1072" s="830"/>
      <c r="O1072" s="830"/>
      <c r="P1072" s="830"/>
      <c r="Q1072" s="832">
        <f t="shared" si="14"/>
        <v>20</v>
      </c>
      <c r="R1072" s="833" t="s">
        <v>4025</v>
      </c>
      <c r="S1072" s="859"/>
      <c r="T1072" s="859"/>
      <c r="U1072" s="859"/>
      <c r="V1072" s="859"/>
      <c r="W1072" s="859"/>
      <c r="X1072" s="859"/>
      <c r="Y1072" s="859"/>
      <c r="Z1072" s="859"/>
      <c r="AA1072" s="859"/>
      <c r="AB1072" s="859"/>
      <c r="AC1072" s="859"/>
      <c r="AD1072" s="859"/>
      <c r="AE1072" s="859"/>
      <c r="AF1072" s="859"/>
    </row>
    <row r="1073" spans="1:32" ht="42">
      <c r="A1073" s="827">
        <v>1038</v>
      </c>
      <c r="B1073" s="828" t="s">
        <v>544</v>
      </c>
      <c r="C1073" s="828" t="s">
        <v>2075</v>
      </c>
      <c r="D1073" s="829" t="s">
        <v>2076</v>
      </c>
      <c r="E1073" s="830"/>
      <c r="F1073" s="831">
        <v>5</v>
      </c>
      <c r="G1073" s="830"/>
      <c r="H1073" s="831">
        <v>5</v>
      </c>
      <c r="I1073" s="830"/>
      <c r="J1073" s="831">
        <v>5</v>
      </c>
      <c r="K1073" s="830"/>
      <c r="L1073" s="830"/>
      <c r="M1073" s="831">
        <v>5</v>
      </c>
      <c r="N1073" s="830"/>
      <c r="O1073" s="830"/>
      <c r="P1073" s="830"/>
      <c r="Q1073" s="832">
        <f t="shared" si="14"/>
        <v>20</v>
      </c>
      <c r="R1073" s="833" t="s">
        <v>4025</v>
      </c>
      <c r="S1073" s="859"/>
      <c r="T1073" s="859"/>
      <c r="U1073" s="859"/>
      <c r="V1073" s="859"/>
      <c r="W1073" s="859"/>
      <c r="X1073" s="859"/>
      <c r="Y1073" s="859"/>
      <c r="Z1073" s="859"/>
      <c r="AA1073" s="859"/>
      <c r="AB1073" s="859"/>
      <c r="AC1073" s="859"/>
      <c r="AD1073" s="859"/>
      <c r="AE1073" s="859"/>
      <c r="AF1073" s="859"/>
    </row>
    <row r="1074" spans="1:32" ht="42">
      <c r="A1074" s="827">
        <v>1039</v>
      </c>
      <c r="B1074" s="828" t="s">
        <v>544</v>
      </c>
      <c r="C1074" s="828" t="s">
        <v>2077</v>
      </c>
      <c r="D1074" s="829" t="s">
        <v>2078</v>
      </c>
      <c r="E1074" s="830"/>
      <c r="F1074" s="831">
        <v>5</v>
      </c>
      <c r="G1074" s="830"/>
      <c r="H1074" s="831">
        <v>5</v>
      </c>
      <c r="I1074" s="830"/>
      <c r="J1074" s="831">
        <v>5</v>
      </c>
      <c r="K1074" s="830"/>
      <c r="L1074" s="830"/>
      <c r="M1074" s="831">
        <v>5</v>
      </c>
      <c r="N1074" s="830"/>
      <c r="O1074" s="830"/>
      <c r="P1074" s="830"/>
      <c r="Q1074" s="832">
        <f t="shared" si="14"/>
        <v>20</v>
      </c>
      <c r="R1074" s="833" t="s">
        <v>4025</v>
      </c>
      <c r="S1074" s="859"/>
      <c r="T1074" s="859"/>
      <c r="U1074" s="859"/>
      <c r="V1074" s="859"/>
      <c r="W1074" s="859"/>
      <c r="X1074" s="859"/>
      <c r="Y1074" s="859"/>
      <c r="Z1074" s="859"/>
      <c r="AA1074" s="859"/>
      <c r="AB1074" s="859"/>
      <c r="AC1074" s="859"/>
      <c r="AD1074" s="859"/>
      <c r="AE1074" s="859"/>
      <c r="AF1074" s="859"/>
    </row>
    <row r="1075" spans="1:32" ht="42">
      <c r="A1075" s="827">
        <v>1040</v>
      </c>
      <c r="B1075" s="828" t="s">
        <v>544</v>
      </c>
      <c r="C1075" s="828" t="s">
        <v>2079</v>
      </c>
      <c r="D1075" s="829" t="s">
        <v>2080</v>
      </c>
      <c r="E1075" s="830"/>
      <c r="F1075" s="831">
        <v>5</v>
      </c>
      <c r="G1075" s="830"/>
      <c r="H1075" s="831">
        <v>5</v>
      </c>
      <c r="I1075" s="830"/>
      <c r="J1075" s="831">
        <v>5</v>
      </c>
      <c r="K1075" s="830"/>
      <c r="L1075" s="830"/>
      <c r="M1075" s="831">
        <v>5</v>
      </c>
      <c r="N1075" s="830"/>
      <c r="O1075" s="830"/>
      <c r="P1075" s="830"/>
      <c r="Q1075" s="832">
        <f t="shared" si="14"/>
        <v>20</v>
      </c>
      <c r="R1075" s="833" t="s">
        <v>4025</v>
      </c>
      <c r="S1075" s="859"/>
      <c r="T1075" s="859"/>
      <c r="U1075" s="859"/>
      <c r="V1075" s="859"/>
      <c r="W1075" s="859"/>
      <c r="X1075" s="859"/>
      <c r="Y1075" s="859"/>
      <c r="Z1075" s="859"/>
      <c r="AA1075" s="859"/>
      <c r="AB1075" s="859"/>
      <c r="AC1075" s="859"/>
      <c r="AD1075" s="859"/>
      <c r="AE1075" s="859"/>
      <c r="AF1075" s="859"/>
    </row>
    <row r="1076" spans="1:32" ht="31.5">
      <c r="A1076" s="827">
        <v>1041</v>
      </c>
      <c r="B1076" s="828" t="s">
        <v>544</v>
      </c>
      <c r="C1076" s="828" t="s">
        <v>2081</v>
      </c>
      <c r="D1076" s="829" t="s">
        <v>2082</v>
      </c>
      <c r="E1076" s="830" t="s">
        <v>4794</v>
      </c>
      <c r="F1076" s="830" t="s">
        <v>4794</v>
      </c>
      <c r="G1076" s="831">
        <v>1</v>
      </c>
      <c r="H1076" s="830" t="s">
        <v>4794</v>
      </c>
      <c r="I1076" s="831">
        <v>1</v>
      </c>
      <c r="J1076" s="830"/>
      <c r="K1076" s="830"/>
      <c r="L1076" s="831">
        <v>2</v>
      </c>
      <c r="M1076" s="830" t="s">
        <v>4794</v>
      </c>
      <c r="N1076" s="830" t="s">
        <v>4794</v>
      </c>
      <c r="O1076" s="830" t="s">
        <v>4794</v>
      </c>
      <c r="P1076" s="830" t="s">
        <v>4794</v>
      </c>
      <c r="Q1076" s="832">
        <f t="shared" si="14"/>
        <v>4</v>
      </c>
      <c r="R1076" s="833" t="s">
        <v>4025</v>
      </c>
      <c r="S1076" s="859"/>
      <c r="T1076" s="859"/>
      <c r="U1076" s="859"/>
      <c r="V1076" s="859"/>
      <c r="W1076" s="859"/>
      <c r="X1076" s="859"/>
      <c r="Y1076" s="859"/>
      <c r="Z1076" s="859"/>
      <c r="AA1076" s="859"/>
      <c r="AB1076" s="859"/>
      <c r="AC1076" s="859"/>
      <c r="AD1076" s="859"/>
      <c r="AE1076" s="859"/>
      <c r="AF1076" s="859"/>
    </row>
    <row r="1077" spans="1:32" ht="42">
      <c r="A1077" s="827">
        <v>1042</v>
      </c>
      <c r="B1077" s="828" t="s">
        <v>544</v>
      </c>
      <c r="C1077" s="828" t="s">
        <v>2083</v>
      </c>
      <c r="D1077" s="829" t="s">
        <v>2084</v>
      </c>
      <c r="E1077" s="830" t="s">
        <v>4794</v>
      </c>
      <c r="F1077" s="830" t="s">
        <v>4794</v>
      </c>
      <c r="G1077" s="831">
        <v>1</v>
      </c>
      <c r="H1077" s="830" t="s">
        <v>4794</v>
      </c>
      <c r="I1077" s="831">
        <v>1</v>
      </c>
      <c r="J1077" s="830" t="s">
        <v>4794</v>
      </c>
      <c r="K1077" s="830"/>
      <c r="L1077" s="831">
        <v>2</v>
      </c>
      <c r="M1077" s="830" t="s">
        <v>4794</v>
      </c>
      <c r="N1077" s="830" t="s">
        <v>4794</v>
      </c>
      <c r="O1077" s="830" t="s">
        <v>4794</v>
      </c>
      <c r="P1077" s="830" t="s">
        <v>4794</v>
      </c>
      <c r="Q1077" s="832">
        <f t="shared" si="14"/>
        <v>4</v>
      </c>
      <c r="R1077" s="833" t="s">
        <v>4025</v>
      </c>
      <c r="S1077" s="859"/>
      <c r="T1077" s="859"/>
      <c r="U1077" s="859"/>
      <c r="V1077" s="859"/>
      <c r="W1077" s="859"/>
      <c r="X1077" s="859"/>
      <c r="Y1077" s="859"/>
      <c r="Z1077" s="859"/>
      <c r="AA1077" s="859"/>
      <c r="AB1077" s="859"/>
      <c r="AC1077" s="859"/>
      <c r="AD1077" s="859"/>
      <c r="AE1077" s="859"/>
      <c r="AF1077" s="859"/>
    </row>
    <row r="1078" spans="1:32" ht="31.5">
      <c r="A1078" s="827">
        <v>1043</v>
      </c>
      <c r="B1078" s="828" t="s">
        <v>544</v>
      </c>
      <c r="C1078" s="828" t="s">
        <v>2085</v>
      </c>
      <c r="D1078" s="829" t="s">
        <v>2086</v>
      </c>
      <c r="E1078" s="830" t="s">
        <v>4794</v>
      </c>
      <c r="F1078" s="830" t="s">
        <v>4794</v>
      </c>
      <c r="G1078" s="831">
        <v>1</v>
      </c>
      <c r="H1078" s="831">
        <v>1</v>
      </c>
      <c r="I1078" s="830" t="s">
        <v>4794</v>
      </c>
      <c r="J1078" s="830" t="s">
        <v>4794</v>
      </c>
      <c r="K1078" s="830" t="s">
        <v>4794</v>
      </c>
      <c r="L1078" s="831">
        <v>2</v>
      </c>
      <c r="M1078" s="830" t="s">
        <v>4794</v>
      </c>
      <c r="N1078" s="830" t="s">
        <v>4794</v>
      </c>
      <c r="O1078" s="830" t="s">
        <v>4794</v>
      </c>
      <c r="P1078" s="830" t="s">
        <v>4794</v>
      </c>
      <c r="Q1078" s="832">
        <f t="shared" si="14"/>
        <v>4</v>
      </c>
      <c r="R1078" s="833" t="s">
        <v>4025</v>
      </c>
      <c r="S1078" s="859"/>
      <c r="T1078" s="859"/>
      <c r="U1078" s="859"/>
      <c r="V1078" s="859"/>
      <c r="W1078" s="859"/>
      <c r="X1078" s="859"/>
      <c r="Y1078" s="859"/>
      <c r="Z1078" s="859"/>
      <c r="AA1078" s="859"/>
      <c r="AB1078" s="859"/>
      <c r="AC1078" s="859"/>
      <c r="AD1078" s="859"/>
      <c r="AE1078" s="859"/>
      <c r="AF1078" s="859"/>
    </row>
    <row r="1079" spans="1:32" ht="63">
      <c r="A1079" s="827">
        <v>1044</v>
      </c>
      <c r="B1079" s="828" t="s">
        <v>544</v>
      </c>
      <c r="C1079" s="828" t="s">
        <v>2087</v>
      </c>
      <c r="D1079" s="829" t="s">
        <v>2088</v>
      </c>
      <c r="E1079" s="831">
        <v>1</v>
      </c>
      <c r="F1079" s="830" t="s">
        <v>4794</v>
      </c>
      <c r="G1079" s="830" t="s">
        <v>4794</v>
      </c>
      <c r="H1079" s="831">
        <v>1</v>
      </c>
      <c r="I1079" s="830" t="s">
        <v>4794</v>
      </c>
      <c r="J1079" s="830"/>
      <c r="K1079" s="830" t="s">
        <v>4794</v>
      </c>
      <c r="L1079" s="830" t="s">
        <v>4794</v>
      </c>
      <c r="M1079" s="831">
        <v>1</v>
      </c>
      <c r="N1079" s="830" t="s">
        <v>4794</v>
      </c>
      <c r="O1079" s="830" t="s">
        <v>4794</v>
      </c>
      <c r="P1079" s="830" t="s">
        <v>4794</v>
      </c>
      <c r="Q1079" s="832">
        <f t="shared" si="14"/>
        <v>3</v>
      </c>
      <c r="R1079" s="833" t="s">
        <v>4025</v>
      </c>
      <c r="S1079" s="859"/>
      <c r="T1079" s="859"/>
      <c r="U1079" s="859"/>
      <c r="V1079" s="859"/>
      <c r="W1079" s="859"/>
      <c r="X1079" s="859"/>
      <c r="Y1079" s="859"/>
      <c r="Z1079" s="859"/>
      <c r="AA1079" s="859"/>
      <c r="AB1079" s="859"/>
      <c r="AC1079" s="859"/>
      <c r="AD1079" s="859"/>
      <c r="AE1079" s="859"/>
      <c r="AF1079" s="859"/>
    </row>
    <row r="1080" spans="1:32" ht="31.5">
      <c r="A1080" s="827">
        <v>1045</v>
      </c>
      <c r="B1080" s="828" t="s">
        <v>544</v>
      </c>
      <c r="C1080" s="828" t="s">
        <v>2089</v>
      </c>
      <c r="D1080" s="829" t="s">
        <v>2090</v>
      </c>
      <c r="E1080" s="830" t="s">
        <v>4794</v>
      </c>
      <c r="F1080" s="830" t="s">
        <v>4794</v>
      </c>
      <c r="G1080" s="831">
        <v>1</v>
      </c>
      <c r="H1080" s="830"/>
      <c r="I1080" s="830"/>
      <c r="J1080" s="831">
        <v>2</v>
      </c>
      <c r="K1080" s="830"/>
      <c r="L1080" s="831">
        <v>2</v>
      </c>
      <c r="M1080" s="830"/>
      <c r="N1080" s="831">
        <v>2</v>
      </c>
      <c r="O1080" s="830"/>
      <c r="P1080" s="830" t="s">
        <v>4794</v>
      </c>
      <c r="Q1080" s="832">
        <f t="shared" si="14"/>
        <v>7</v>
      </c>
      <c r="R1080" s="833" t="s">
        <v>4025</v>
      </c>
      <c r="S1080" s="859"/>
      <c r="T1080" s="859"/>
      <c r="U1080" s="859"/>
      <c r="V1080" s="859"/>
      <c r="W1080" s="859"/>
      <c r="X1080" s="859"/>
      <c r="Y1080" s="859"/>
      <c r="Z1080" s="859"/>
      <c r="AA1080" s="859"/>
      <c r="AB1080" s="859"/>
      <c r="AC1080" s="859"/>
      <c r="AD1080" s="859"/>
      <c r="AE1080" s="859"/>
      <c r="AF1080" s="859"/>
    </row>
    <row r="1081" spans="1:32" ht="42">
      <c r="A1081" s="827">
        <v>1046</v>
      </c>
      <c r="B1081" s="828" t="s">
        <v>544</v>
      </c>
      <c r="C1081" s="828" t="s">
        <v>2091</v>
      </c>
      <c r="D1081" s="829" t="s">
        <v>2092</v>
      </c>
      <c r="E1081" s="830" t="s">
        <v>4794</v>
      </c>
      <c r="F1081" s="830"/>
      <c r="G1081" s="831">
        <v>4</v>
      </c>
      <c r="H1081" s="830"/>
      <c r="I1081" s="831">
        <v>8</v>
      </c>
      <c r="J1081" s="830"/>
      <c r="K1081" s="831">
        <v>8</v>
      </c>
      <c r="L1081" s="830"/>
      <c r="M1081" s="831">
        <v>8</v>
      </c>
      <c r="N1081" s="830"/>
      <c r="O1081" s="830" t="s">
        <v>4794</v>
      </c>
      <c r="P1081" s="830" t="s">
        <v>4794</v>
      </c>
      <c r="Q1081" s="832">
        <f t="shared" si="14"/>
        <v>28</v>
      </c>
      <c r="R1081" s="833" t="s">
        <v>3714</v>
      </c>
      <c r="S1081" s="859"/>
      <c r="T1081" s="859"/>
      <c r="U1081" s="859"/>
      <c r="V1081" s="859"/>
      <c r="W1081" s="859"/>
      <c r="X1081" s="859"/>
      <c r="Y1081" s="859"/>
      <c r="Z1081" s="859"/>
      <c r="AA1081" s="859"/>
      <c r="AB1081" s="859"/>
      <c r="AC1081" s="859"/>
      <c r="AD1081" s="859"/>
      <c r="AE1081" s="859"/>
      <c r="AF1081" s="859"/>
    </row>
    <row r="1082" spans="1:32" ht="31.5">
      <c r="A1082" s="827">
        <v>1047</v>
      </c>
      <c r="B1082" s="828" t="s">
        <v>544</v>
      </c>
      <c r="C1082" s="828" t="s">
        <v>2093</v>
      </c>
      <c r="D1082" s="829" t="s">
        <v>2094</v>
      </c>
      <c r="E1082" s="830" t="s">
        <v>4794</v>
      </c>
      <c r="F1082" s="830" t="s">
        <v>4794</v>
      </c>
      <c r="G1082" s="831">
        <v>10</v>
      </c>
      <c r="H1082" s="830" t="s">
        <v>4794</v>
      </c>
      <c r="I1082" s="830" t="s">
        <v>4794</v>
      </c>
      <c r="J1082" s="831">
        <v>10</v>
      </c>
      <c r="K1082" s="830" t="s">
        <v>4794</v>
      </c>
      <c r="L1082" s="831">
        <v>10</v>
      </c>
      <c r="M1082" s="830" t="s">
        <v>4794</v>
      </c>
      <c r="N1082" s="830"/>
      <c r="O1082" s="830" t="s">
        <v>4794</v>
      </c>
      <c r="P1082" s="830" t="s">
        <v>4794</v>
      </c>
      <c r="Q1082" s="832">
        <f t="shared" si="14"/>
        <v>30</v>
      </c>
      <c r="R1082" s="833" t="s">
        <v>4025</v>
      </c>
      <c r="S1082" s="859"/>
      <c r="T1082" s="859"/>
      <c r="U1082" s="859"/>
      <c r="V1082" s="859"/>
      <c r="W1082" s="859"/>
      <c r="X1082" s="859"/>
      <c r="Y1082" s="859"/>
      <c r="Z1082" s="859"/>
      <c r="AA1082" s="859"/>
      <c r="AB1082" s="859"/>
      <c r="AC1082" s="859"/>
      <c r="AD1082" s="859"/>
      <c r="AE1082" s="859"/>
      <c r="AF1082" s="859"/>
    </row>
    <row r="1083" spans="1:32" ht="31.5">
      <c r="A1083" s="827">
        <v>1048</v>
      </c>
      <c r="B1083" s="828" t="s">
        <v>544</v>
      </c>
      <c r="C1083" s="828" t="s">
        <v>2095</v>
      </c>
      <c r="D1083" s="829" t="s">
        <v>2096</v>
      </c>
      <c r="E1083" s="830" t="s">
        <v>4794</v>
      </c>
      <c r="F1083" s="830" t="s">
        <v>4794</v>
      </c>
      <c r="G1083" s="830" t="s">
        <v>4794</v>
      </c>
      <c r="H1083" s="830" t="s">
        <v>4794</v>
      </c>
      <c r="I1083" s="831">
        <v>1</v>
      </c>
      <c r="J1083" s="830" t="s">
        <v>4794</v>
      </c>
      <c r="K1083" s="830" t="s">
        <v>4794</v>
      </c>
      <c r="L1083" s="830" t="s">
        <v>4794</v>
      </c>
      <c r="M1083" s="830" t="s">
        <v>4794</v>
      </c>
      <c r="N1083" s="830" t="s">
        <v>4794</v>
      </c>
      <c r="O1083" s="830" t="s">
        <v>4794</v>
      </c>
      <c r="P1083" s="830" t="s">
        <v>4794</v>
      </c>
      <c r="Q1083" s="832">
        <f t="shared" si="14"/>
        <v>1</v>
      </c>
      <c r="R1083" s="833" t="s">
        <v>4025</v>
      </c>
      <c r="S1083" s="859"/>
      <c r="T1083" s="859"/>
      <c r="U1083" s="859"/>
      <c r="V1083" s="859"/>
      <c r="W1083" s="859"/>
      <c r="X1083" s="859"/>
      <c r="Y1083" s="859"/>
      <c r="Z1083" s="859"/>
      <c r="AA1083" s="859"/>
      <c r="AB1083" s="859"/>
      <c r="AC1083" s="859"/>
      <c r="AD1083" s="859"/>
      <c r="AE1083" s="859"/>
      <c r="AF1083" s="859"/>
    </row>
    <row r="1084" spans="1:32" ht="42">
      <c r="A1084" s="827">
        <v>1049</v>
      </c>
      <c r="B1084" s="828" t="s">
        <v>544</v>
      </c>
      <c r="C1084" s="828" t="s">
        <v>2097</v>
      </c>
      <c r="D1084" s="829" t="s">
        <v>2098</v>
      </c>
      <c r="E1084" s="830" t="s">
        <v>4794</v>
      </c>
      <c r="F1084" s="831">
        <v>10</v>
      </c>
      <c r="G1084" s="831">
        <v>10</v>
      </c>
      <c r="H1084" s="831">
        <v>10</v>
      </c>
      <c r="I1084" s="831">
        <v>20</v>
      </c>
      <c r="J1084" s="831">
        <v>20</v>
      </c>
      <c r="K1084" s="831">
        <v>20</v>
      </c>
      <c r="L1084" s="831">
        <v>10</v>
      </c>
      <c r="M1084" s="831">
        <v>10</v>
      </c>
      <c r="N1084" s="831">
        <v>10</v>
      </c>
      <c r="O1084" s="830" t="s">
        <v>4794</v>
      </c>
      <c r="P1084" s="830" t="s">
        <v>4794</v>
      </c>
      <c r="Q1084" s="832">
        <f t="shared" si="14"/>
        <v>120</v>
      </c>
      <c r="R1084" s="833" t="s">
        <v>2257</v>
      </c>
      <c r="S1084" s="859"/>
      <c r="T1084" s="859"/>
      <c r="U1084" s="859"/>
      <c r="V1084" s="859"/>
      <c r="W1084" s="859"/>
      <c r="X1084" s="859"/>
      <c r="Y1084" s="859"/>
      <c r="Z1084" s="859"/>
      <c r="AA1084" s="859"/>
      <c r="AB1084" s="859"/>
      <c r="AC1084" s="859"/>
      <c r="AD1084" s="859"/>
      <c r="AE1084" s="859"/>
      <c r="AF1084" s="859"/>
    </row>
    <row r="1085" spans="1:32" ht="42">
      <c r="A1085" s="827">
        <v>1050</v>
      </c>
      <c r="B1085" s="828" t="s">
        <v>544</v>
      </c>
      <c r="C1085" s="828" t="s">
        <v>2099</v>
      </c>
      <c r="D1085" s="829" t="s">
        <v>2100</v>
      </c>
      <c r="E1085" s="830" t="s">
        <v>4794</v>
      </c>
      <c r="F1085" s="830" t="s">
        <v>4794</v>
      </c>
      <c r="G1085" s="831">
        <v>1</v>
      </c>
      <c r="H1085" s="830" t="s">
        <v>4794</v>
      </c>
      <c r="I1085" s="830" t="s">
        <v>4794</v>
      </c>
      <c r="J1085" s="831">
        <v>1</v>
      </c>
      <c r="K1085" s="830" t="s">
        <v>4794</v>
      </c>
      <c r="L1085" s="830" t="s">
        <v>4794</v>
      </c>
      <c r="M1085" s="831">
        <v>1</v>
      </c>
      <c r="N1085" s="830" t="s">
        <v>4794</v>
      </c>
      <c r="O1085" s="830" t="s">
        <v>4794</v>
      </c>
      <c r="P1085" s="830">
        <v>1</v>
      </c>
      <c r="Q1085" s="832">
        <f t="shared" si="14"/>
        <v>4</v>
      </c>
      <c r="R1085" s="833" t="s">
        <v>4025</v>
      </c>
      <c r="S1085" s="859"/>
      <c r="T1085" s="859"/>
      <c r="U1085" s="859"/>
      <c r="V1085" s="859"/>
      <c r="W1085" s="859"/>
      <c r="X1085" s="859"/>
      <c r="Y1085" s="859"/>
      <c r="Z1085" s="859"/>
      <c r="AA1085" s="859"/>
      <c r="AB1085" s="859"/>
      <c r="AC1085" s="859"/>
      <c r="AD1085" s="859"/>
      <c r="AE1085" s="859"/>
      <c r="AF1085" s="859"/>
    </row>
    <row r="1086" spans="1:32" ht="31.5">
      <c r="A1086" s="827">
        <v>1051</v>
      </c>
      <c r="B1086" s="828" t="s">
        <v>544</v>
      </c>
      <c r="C1086" s="828" t="s">
        <v>2101</v>
      </c>
      <c r="D1086" s="829" t="s">
        <v>2102</v>
      </c>
      <c r="E1086" s="830" t="s">
        <v>4794</v>
      </c>
      <c r="F1086" s="830" t="s">
        <v>4794</v>
      </c>
      <c r="G1086" s="831">
        <v>1</v>
      </c>
      <c r="H1086" s="830" t="s">
        <v>4794</v>
      </c>
      <c r="I1086" s="830" t="s">
        <v>4794</v>
      </c>
      <c r="J1086" s="831">
        <v>1</v>
      </c>
      <c r="K1086" s="830" t="s">
        <v>4794</v>
      </c>
      <c r="L1086" s="830" t="s">
        <v>4794</v>
      </c>
      <c r="M1086" s="831">
        <v>1</v>
      </c>
      <c r="N1086" s="830" t="s">
        <v>4794</v>
      </c>
      <c r="O1086" s="830" t="s">
        <v>4794</v>
      </c>
      <c r="P1086" s="830">
        <v>1</v>
      </c>
      <c r="Q1086" s="832">
        <f t="shared" si="14"/>
        <v>4</v>
      </c>
      <c r="R1086" s="833" t="s">
        <v>4025</v>
      </c>
      <c r="S1086" s="859"/>
      <c r="T1086" s="859"/>
      <c r="U1086" s="859"/>
      <c r="V1086" s="859"/>
      <c r="W1086" s="859"/>
      <c r="X1086" s="859"/>
      <c r="Y1086" s="859"/>
      <c r="Z1086" s="859"/>
      <c r="AA1086" s="859"/>
      <c r="AB1086" s="859"/>
      <c r="AC1086" s="859"/>
      <c r="AD1086" s="859"/>
      <c r="AE1086" s="859"/>
      <c r="AF1086" s="859"/>
    </row>
    <row r="1087" spans="1:32" ht="31.5">
      <c r="A1087" s="827">
        <v>1052</v>
      </c>
      <c r="B1087" s="828" t="s">
        <v>544</v>
      </c>
      <c r="C1087" s="828" t="s">
        <v>2103</v>
      </c>
      <c r="D1087" s="829" t="s">
        <v>2104</v>
      </c>
      <c r="E1087" s="830" t="s">
        <v>4794</v>
      </c>
      <c r="F1087" s="831">
        <v>2</v>
      </c>
      <c r="G1087" s="830" t="s">
        <v>4794</v>
      </c>
      <c r="H1087" s="831">
        <v>5</v>
      </c>
      <c r="I1087" s="830" t="s">
        <v>4794</v>
      </c>
      <c r="J1087" s="830" t="s">
        <v>4794</v>
      </c>
      <c r="K1087" s="831">
        <v>10</v>
      </c>
      <c r="L1087" s="830" t="s">
        <v>4794</v>
      </c>
      <c r="M1087" s="831">
        <v>1</v>
      </c>
      <c r="N1087" s="831">
        <v>2</v>
      </c>
      <c r="O1087" s="830" t="s">
        <v>4794</v>
      </c>
      <c r="P1087" s="830" t="s">
        <v>4794</v>
      </c>
      <c r="Q1087" s="832">
        <f t="shared" si="14"/>
        <v>20</v>
      </c>
      <c r="R1087" s="833" t="s">
        <v>4025</v>
      </c>
      <c r="S1087" s="859"/>
      <c r="T1087" s="859"/>
      <c r="U1087" s="859"/>
      <c r="V1087" s="859"/>
      <c r="W1087" s="859"/>
      <c r="X1087" s="859"/>
      <c r="Y1087" s="859"/>
      <c r="Z1087" s="859"/>
      <c r="AA1087" s="859"/>
      <c r="AB1087" s="859"/>
      <c r="AC1087" s="859"/>
      <c r="AD1087" s="859"/>
      <c r="AE1087" s="859"/>
      <c r="AF1087" s="859"/>
    </row>
    <row r="1088" spans="1:32" ht="31.5">
      <c r="A1088" s="827">
        <v>1053</v>
      </c>
      <c r="B1088" s="828" t="s">
        <v>544</v>
      </c>
      <c r="C1088" s="828" t="s">
        <v>2105</v>
      </c>
      <c r="D1088" s="829" t="s">
        <v>2106</v>
      </c>
      <c r="E1088" s="830" t="s">
        <v>4794</v>
      </c>
      <c r="F1088" s="831">
        <v>2</v>
      </c>
      <c r="G1088" s="830"/>
      <c r="H1088" s="831">
        <v>5</v>
      </c>
      <c r="I1088" s="830"/>
      <c r="J1088" s="830"/>
      <c r="K1088" s="831">
        <v>10</v>
      </c>
      <c r="L1088" s="830"/>
      <c r="M1088" s="830" t="s">
        <v>4794</v>
      </c>
      <c r="N1088" s="831">
        <v>2</v>
      </c>
      <c r="O1088" s="831">
        <v>2</v>
      </c>
      <c r="P1088" s="830" t="s">
        <v>4794</v>
      </c>
      <c r="Q1088" s="832">
        <f t="shared" si="14"/>
        <v>21</v>
      </c>
      <c r="R1088" s="833" t="s">
        <v>4025</v>
      </c>
      <c r="S1088" s="859"/>
      <c r="T1088" s="859"/>
      <c r="U1088" s="859"/>
      <c r="V1088" s="859"/>
      <c r="W1088" s="859"/>
      <c r="X1088" s="859"/>
      <c r="Y1088" s="859"/>
      <c r="Z1088" s="859"/>
      <c r="AA1088" s="859"/>
      <c r="AB1088" s="859"/>
      <c r="AC1088" s="859"/>
      <c r="AD1088" s="859"/>
      <c r="AE1088" s="859"/>
      <c r="AF1088" s="859"/>
    </row>
    <row r="1089" spans="1:32" ht="31.5">
      <c r="A1089" s="827">
        <v>1054</v>
      </c>
      <c r="B1089" s="828" t="s">
        <v>544</v>
      </c>
      <c r="C1089" s="828" t="s">
        <v>2107</v>
      </c>
      <c r="D1089" s="829" t="s">
        <v>2108</v>
      </c>
      <c r="E1089" s="830" t="s">
        <v>4794</v>
      </c>
      <c r="F1089" s="831">
        <v>2</v>
      </c>
      <c r="G1089" s="830"/>
      <c r="H1089" s="831">
        <v>5</v>
      </c>
      <c r="I1089" s="830"/>
      <c r="J1089" s="830"/>
      <c r="K1089" s="831">
        <v>10</v>
      </c>
      <c r="L1089" s="830"/>
      <c r="M1089" s="831">
        <v>2</v>
      </c>
      <c r="N1089" s="831">
        <v>2</v>
      </c>
      <c r="O1089" s="830" t="s">
        <v>4794</v>
      </c>
      <c r="P1089" s="830" t="s">
        <v>4794</v>
      </c>
      <c r="Q1089" s="832">
        <f t="shared" ref="Q1089:Q1148" si="15">SUM(E1089:P1089)</f>
        <v>21</v>
      </c>
      <c r="R1089" s="833" t="s">
        <v>4025</v>
      </c>
      <c r="S1089" s="859"/>
      <c r="T1089" s="859"/>
      <c r="U1089" s="859"/>
      <c r="V1089" s="859"/>
      <c r="W1089" s="859"/>
      <c r="X1089" s="859"/>
      <c r="Y1089" s="859"/>
      <c r="Z1089" s="859"/>
      <c r="AA1089" s="859"/>
      <c r="AB1089" s="859"/>
      <c r="AC1089" s="859"/>
      <c r="AD1089" s="859"/>
      <c r="AE1089" s="859"/>
      <c r="AF1089" s="859"/>
    </row>
    <row r="1090" spans="1:32" ht="31.5">
      <c r="A1090" s="827">
        <v>1055</v>
      </c>
      <c r="B1090" s="828" t="s">
        <v>544</v>
      </c>
      <c r="C1090" s="828" t="s">
        <v>2109</v>
      </c>
      <c r="D1090" s="829" t="s">
        <v>2110</v>
      </c>
      <c r="E1090" s="830" t="s">
        <v>4794</v>
      </c>
      <c r="F1090" s="831">
        <v>2</v>
      </c>
      <c r="G1090" s="830"/>
      <c r="H1090" s="831">
        <v>5</v>
      </c>
      <c r="I1090" s="830"/>
      <c r="J1090" s="830"/>
      <c r="K1090" s="831">
        <v>10</v>
      </c>
      <c r="L1090" s="830"/>
      <c r="M1090" s="830" t="s">
        <v>4794</v>
      </c>
      <c r="N1090" s="831">
        <v>2</v>
      </c>
      <c r="O1090" s="830" t="s">
        <v>4794</v>
      </c>
      <c r="P1090" s="830" t="s">
        <v>4794</v>
      </c>
      <c r="Q1090" s="832">
        <f t="shared" si="15"/>
        <v>19</v>
      </c>
      <c r="R1090" s="833" t="s">
        <v>4025</v>
      </c>
      <c r="S1090" s="859"/>
      <c r="T1090" s="859"/>
      <c r="U1090" s="859"/>
      <c r="V1090" s="859"/>
      <c r="W1090" s="859"/>
      <c r="X1090" s="859"/>
      <c r="Y1090" s="859"/>
      <c r="Z1090" s="859"/>
      <c r="AA1090" s="859"/>
      <c r="AB1090" s="859"/>
      <c r="AC1090" s="859"/>
      <c r="AD1090" s="859"/>
      <c r="AE1090" s="859"/>
      <c r="AF1090" s="859"/>
    </row>
    <row r="1091" spans="1:32" ht="31.5">
      <c r="A1091" s="827">
        <v>1056</v>
      </c>
      <c r="B1091" s="828" t="s">
        <v>544</v>
      </c>
      <c r="C1091" s="828" t="s">
        <v>2111</v>
      </c>
      <c r="D1091" s="829" t="s">
        <v>2112</v>
      </c>
      <c r="E1091" s="830" t="s">
        <v>4794</v>
      </c>
      <c r="F1091" s="831">
        <v>2</v>
      </c>
      <c r="G1091" s="830"/>
      <c r="H1091" s="831">
        <v>5</v>
      </c>
      <c r="I1091" s="830"/>
      <c r="J1091" s="830"/>
      <c r="K1091" s="831">
        <v>10</v>
      </c>
      <c r="L1091" s="830"/>
      <c r="M1091" s="830" t="s">
        <v>4794</v>
      </c>
      <c r="N1091" s="831">
        <v>2</v>
      </c>
      <c r="O1091" s="830" t="s">
        <v>4794</v>
      </c>
      <c r="P1091" s="830" t="s">
        <v>4794</v>
      </c>
      <c r="Q1091" s="832">
        <f t="shared" si="15"/>
        <v>19</v>
      </c>
      <c r="R1091" s="833" t="s">
        <v>4025</v>
      </c>
      <c r="S1091" s="859"/>
      <c r="T1091" s="859"/>
      <c r="U1091" s="859"/>
      <c r="V1091" s="859"/>
      <c r="W1091" s="859"/>
      <c r="X1091" s="859"/>
      <c r="Y1091" s="859"/>
      <c r="Z1091" s="859"/>
      <c r="AA1091" s="859"/>
      <c r="AB1091" s="859"/>
      <c r="AC1091" s="859"/>
      <c r="AD1091" s="859"/>
      <c r="AE1091" s="859"/>
      <c r="AF1091" s="859"/>
    </row>
    <row r="1092" spans="1:32" ht="42">
      <c r="A1092" s="827">
        <v>1057</v>
      </c>
      <c r="B1092" s="828" t="s">
        <v>544</v>
      </c>
      <c r="C1092" s="828" t="s">
        <v>2113</v>
      </c>
      <c r="D1092" s="829" t="s">
        <v>2114</v>
      </c>
      <c r="E1092" s="831">
        <v>1</v>
      </c>
      <c r="F1092" s="831">
        <v>1</v>
      </c>
      <c r="G1092" s="831">
        <v>1</v>
      </c>
      <c r="H1092" s="831">
        <v>1</v>
      </c>
      <c r="I1092" s="831">
        <v>1</v>
      </c>
      <c r="J1092" s="831">
        <v>1</v>
      </c>
      <c r="K1092" s="831">
        <v>1</v>
      </c>
      <c r="L1092" s="831">
        <v>1</v>
      </c>
      <c r="M1092" s="831">
        <v>1</v>
      </c>
      <c r="N1092" s="831">
        <v>1</v>
      </c>
      <c r="O1092" s="831">
        <v>1</v>
      </c>
      <c r="P1092" s="830" t="s">
        <v>4794</v>
      </c>
      <c r="Q1092" s="832">
        <f t="shared" si="15"/>
        <v>11</v>
      </c>
      <c r="R1092" s="833" t="s">
        <v>4025</v>
      </c>
      <c r="S1092" s="859"/>
      <c r="T1092" s="859"/>
      <c r="U1092" s="859"/>
      <c r="V1092" s="859"/>
      <c r="W1092" s="859"/>
      <c r="X1092" s="859"/>
      <c r="Y1092" s="859"/>
      <c r="Z1092" s="859"/>
      <c r="AA1092" s="859"/>
      <c r="AB1092" s="859"/>
      <c r="AC1092" s="859"/>
      <c r="AD1092" s="859"/>
      <c r="AE1092" s="859"/>
      <c r="AF1092" s="859"/>
    </row>
    <row r="1093" spans="1:32" ht="63">
      <c r="A1093" s="827">
        <v>1058</v>
      </c>
      <c r="B1093" s="828" t="s">
        <v>544</v>
      </c>
      <c r="C1093" s="828">
        <v>9106716</v>
      </c>
      <c r="D1093" s="829" t="s">
        <v>2115</v>
      </c>
      <c r="E1093" s="830"/>
      <c r="F1093" s="830"/>
      <c r="G1093" s="830"/>
      <c r="H1093" s="830"/>
      <c r="I1093" s="831">
        <v>10</v>
      </c>
      <c r="J1093" s="830"/>
      <c r="K1093" s="831">
        <v>10</v>
      </c>
      <c r="L1093" s="830"/>
      <c r="M1093" s="831">
        <v>10</v>
      </c>
      <c r="N1093" s="830"/>
      <c r="O1093" s="830"/>
      <c r="P1093" s="830"/>
      <c r="Q1093" s="832">
        <f>SUM(E1093:P1093)</f>
        <v>30</v>
      </c>
      <c r="R1093" s="833" t="s">
        <v>4025</v>
      </c>
      <c r="S1093" s="859"/>
      <c r="T1093" s="859"/>
      <c r="U1093" s="859"/>
      <c r="V1093" s="859"/>
      <c r="W1093" s="859"/>
      <c r="X1093" s="859"/>
      <c r="Y1093" s="859"/>
      <c r="Z1093" s="859"/>
      <c r="AA1093" s="859"/>
      <c r="AB1093" s="859"/>
      <c r="AC1093" s="859"/>
      <c r="AD1093" s="859"/>
      <c r="AE1093" s="859"/>
      <c r="AF1093" s="859"/>
    </row>
    <row r="1094" spans="1:32" ht="42">
      <c r="A1094" s="827">
        <v>1059</v>
      </c>
      <c r="B1094" s="828" t="s">
        <v>544</v>
      </c>
      <c r="C1094" s="828">
        <v>4201235</v>
      </c>
      <c r="D1094" s="829" t="s">
        <v>2116</v>
      </c>
      <c r="E1094" s="830"/>
      <c r="F1094" s="830"/>
      <c r="G1094" s="831">
        <v>6</v>
      </c>
      <c r="H1094" s="830"/>
      <c r="I1094" s="831">
        <v>6</v>
      </c>
      <c r="J1094" s="830"/>
      <c r="K1094" s="831">
        <v>6</v>
      </c>
      <c r="L1094" s="830"/>
      <c r="M1094" s="831">
        <v>6</v>
      </c>
      <c r="N1094" s="830"/>
      <c r="O1094" s="831">
        <v>6</v>
      </c>
      <c r="P1094" s="830"/>
      <c r="Q1094" s="832">
        <f>SUM(E1094:P1094)</f>
        <v>30</v>
      </c>
      <c r="R1094" s="833" t="s">
        <v>4025</v>
      </c>
      <c r="S1094" s="859"/>
      <c r="T1094" s="859"/>
      <c r="U1094" s="859"/>
      <c r="V1094" s="859"/>
      <c r="W1094" s="859"/>
      <c r="X1094" s="859"/>
      <c r="Y1094" s="859"/>
      <c r="Z1094" s="859"/>
      <c r="AA1094" s="859"/>
      <c r="AB1094" s="859"/>
      <c r="AC1094" s="859"/>
      <c r="AD1094" s="859"/>
      <c r="AE1094" s="859"/>
      <c r="AF1094" s="859"/>
    </row>
    <row r="1095" spans="1:32" ht="42">
      <c r="A1095" s="827">
        <v>1060</v>
      </c>
      <c r="B1095" s="828" t="s">
        <v>544</v>
      </c>
      <c r="C1095" s="828">
        <v>4202010</v>
      </c>
      <c r="D1095" s="829" t="s">
        <v>2117</v>
      </c>
      <c r="E1095" s="830"/>
      <c r="F1095" s="831">
        <v>2</v>
      </c>
      <c r="G1095" s="830"/>
      <c r="H1095" s="831">
        <v>4</v>
      </c>
      <c r="I1095" s="830"/>
      <c r="J1095" s="831">
        <v>2</v>
      </c>
      <c r="K1095" s="830"/>
      <c r="L1095" s="831">
        <v>4</v>
      </c>
      <c r="M1095" s="830"/>
      <c r="N1095" s="831">
        <v>2</v>
      </c>
      <c r="O1095" s="830"/>
      <c r="P1095" s="831">
        <v>4</v>
      </c>
      <c r="Q1095" s="832">
        <f>SUM(E1095:P1095)</f>
        <v>18</v>
      </c>
      <c r="R1095" s="833" t="s">
        <v>4025</v>
      </c>
      <c r="S1095" s="859"/>
      <c r="T1095" s="859"/>
      <c r="U1095" s="859"/>
      <c r="V1095" s="859"/>
      <c r="W1095" s="859"/>
      <c r="X1095" s="859"/>
      <c r="Y1095" s="859"/>
      <c r="Z1095" s="859"/>
      <c r="AA1095" s="859"/>
      <c r="AB1095" s="859"/>
      <c r="AC1095" s="859"/>
      <c r="AD1095" s="859"/>
      <c r="AE1095" s="859"/>
      <c r="AF1095" s="859"/>
    </row>
    <row r="1096" spans="1:32" ht="31.5">
      <c r="A1096" s="827">
        <v>1061</v>
      </c>
      <c r="B1096" s="828" t="s">
        <v>544</v>
      </c>
      <c r="C1096" s="828" t="s">
        <v>2118</v>
      </c>
      <c r="D1096" s="829" t="s">
        <v>2119</v>
      </c>
      <c r="E1096" s="831">
        <v>1</v>
      </c>
      <c r="F1096" s="830" t="s">
        <v>4794</v>
      </c>
      <c r="G1096" s="831">
        <v>1</v>
      </c>
      <c r="H1096" s="830" t="s">
        <v>4794</v>
      </c>
      <c r="I1096" s="831">
        <v>1</v>
      </c>
      <c r="J1096" s="830" t="s">
        <v>4794</v>
      </c>
      <c r="K1096" s="831">
        <v>1</v>
      </c>
      <c r="L1096" s="830" t="s">
        <v>4794</v>
      </c>
      <c r="M1096" s="831">
        <v>1</v>
      </c>
      <c r="N1096" s="830" t="s">
        <v>4794</v>
      </c>
      <c r="O1096" s="831">
        <v>1</v>
      </c>
      <c r="P1096" s="830" t="s">
        <v>4794</v>
      </c>
      <c r="Q1096" s="832">
        <f t="shared" si="15"/>
        <v>6</v>
      </c>
      <c r="R1096" s="833" t="s">
        <v>4025</v>
      </c>
      <c r="S1096" s="859"/>
      <c r="T1096" s="859"/>
      <c r="U1096" s="859"/>
      <c r="V1096" s="859"/>
      <c r="W1096" s="859"/>
      <c r="X1096" s="859"/>
      <c r="Y1096" s="859"/>
      <c r="Z1096" s="859"/>
      <c r="AA1096" s="859"/>
      <c r="AB1096" s="859"/>
      <c r="AC1096" s="859"/>
      <c r="AD1096" s="859"/>
      <c r="AE1096" s="859"/>
      <c r="AF1096" s="859"/>
    </row>
    <row r="1097" spans="1:32" ht="42">
      <c r="A1097" s="827">
        <v>1062</v>
      </c>
      <c r="B1097" s="828" t="s">
        <v>544</v>
      </c>
      <c r="C1097" s="828" t="s">
        <v>2120</v>
      </c>
      <c r="D1097" s="829" t="s">
        <v>2121</v>
      </c>
      <c r="E1097" s="830" t="s">
        <v>4794</v>
      </c>
      <c r="F1097" s="831">
        <v>3</v>
      </c>
      <c r="G1097" s="830" t="s">
        <v>4794</v>
      </c>
      <c r="H1097" s="830" t="s">
        <v>4794</v>
      </c>
      <c r="I1097" s="831">
        <v>4</v>
      </c>
      <c r="J1097" s="830" t="s">
        <v>4794</v>
      </c>
      <c r="K1097" s="831">
        <v>3</v>
      </c>
      <c r="L1097" s="830" t="s">
        <v>4794</v>
      </c>
      <c r="M1097" s="830" t="s">
        <v>4794</v>
      </c>
      <c r="N1097" s="830" t="s">
        <v>4794</v>
      </c>
      <c r="O1097" s="830" t="s">
        <v>4794</v>
      </c>
      <c r="P1097" s="830" t="s">
        <v>4794</v>
      </c>
      <c r="Q1097" s="832">
        <f t="shared" si="15"/>
        <v>10</v>
      </c>
      <c r="R1097" s="833" t="s">
        <v>4025</v>
      </c>
      <c r="S1097" s="859"/>
      <c r="T1097" s="859"/>
      <c r="U1097" s="859"/>
      <c r="V1097" s="859"/>
      <c r="W1097" s="859"/>
      <c r="X1097" s="859"/>
      <c r="Y1097" s="859"/>
      <c r="Z1097" s="859"/>
      <c r="AA1097" s="859"/>
      <c r="AB1097" s="859"/>
      <c r="AC1097" s="859"/>
      <c r="AD1097" s="859"/>
      <c r="AE1097" s="859"/>
      <c r="AF1097" s="859"/>
    </row>
    <row r="1098" spans="1:32" ht="42">
      <c r="A1098" s="827">
        <v>1063</v>
      </c>
      <c r="B1098" s="828" t="s">
        <v>544</v>
      </c>
      <c r="C1098" s="828" t="s">
        <v>2122</v>
      </c>
      <c r="D1098" s="829" t="s">
        <v>2123</v>
      </c>
      <c r="E1098" s="830" t="s">
        <v>4794</v>
      </c>
      <c r="F1098" s="830" t="s">
        <v>4794</v>
      </c>
      <c r="G1098" s="830" t="s">
        <v>4794</v>
      </c>
      <c r="H1098" s="830" t="s">
        <v>4794</v>
      </c>
      <c r="I1098" s="830" t="s">
        <v>4794</v>
      </c>
      <c r="J1098" s="831">
        <v>3</v>
      </c>
      <c r="K1098" s="830" t="s">
        <v>4794</v>
      </c>
      <c r="L1098" s="830" t="s">
        <v>4794</v>
      </c>
      <c r="M1098" s="830" t="s">
        <v>4794</v>
      </c>
      <c r="N1098" s="830" t="s">
        <v>4794</v>
      </c>
      <c r="O1098" s="830" t="s">
        <v>4794</v>
      </c>
      <c r="P1098" s="830" t="s">
        <v>4794</v>
      </c>
      <c r="Q1098" s="832">
        <f t="shared" si="15"/>
        <v>3</v>
      </c>
      <c r="R1098" s="833" t="s">
        <v>4025</v>
      </c>
      <c r="S1098" s="859"/>
      <c r="T1098" s="859"/>
      <c r="U1098" s="859"/>
      <c r="V1098" s="859"/>
      <c r="W1098" s="859"/>
      <c r="X1098" s="859"/>
      <c r="Y1098" s="859"/>
      <c r="Z1098" s="859"/>
      <c r="AA1098" s="859"/>
      <c r="AB1098" s="859"/>
      <c r="AC1098" s="859"/>
      <c r="AD1098" s="859"/>
      <c r="AE1098" s="859"/>
      <c r="AF1098" s="859"/>
    </row>
    <row r="1099" spans="1:32" ht="42">
      <c r="A1099" s="827">
        <v>1064</v>
      </c>
      <c r="B1099" s="828" t="s">
        <v>544</v>
      </c>
      <c r="C1099" s="828" t="s">
        <v>2124</v>
      </c>
      <c r="D1099" s="829" t="s">
        <v>2125</v>
      </c>
      <c r="E1099" s="830" t="s">
        <v>4794</v>
      </c>
      <c r="F1099" s="830" t="s">
        <v>4794</v>
      </c>
      <c r="G1099" s="830" t="s">
        <v>4794</v>
      </c>
      <c r="H1099" s="830" t="s">
        <v>4794</v>
      </c>
      <c r="I1099" s="830" t="s">
        <v>4794</v>
      </c>
      <c r="J1099" s="831">
        <v>1</v>
      </c>
      <c r="K1099" s="830" t="s">
        <v>4794</v>
      </c>
      <c r="L1099" s="830" t="s">
        <v>4794</v>
      </c>
      <c r="M1099" s="830" t="s">
        <v>4794</v>
      </c>
      <c r="N1099" s="830" t="s">
        <v>4794</v>
      </c>
      <c r="O1099" s="830" t="s">
        <v>4794</v>
      </c>
      <c r="P1099" s="830" t="s">
        <v>4794</v>
      </c>
      <c r="Q1099" s="832">
        <f t="shared" si="15"/>
        <v>1</v>
      </c>
      <c r="R1099" s="833" t="s">
        <v>4025</v>
      </c>
      <c r="S1099" s="859"/>
      <c r="T1099" s="859"/>
      <c r="U1099" s="859"/>
      <c r="V1099" s="859"/>
      <c r="W1099" s="859"/>
      <c r="X1099" s="859"/>
      <c r="Y1099" s="859"/>
      <c r="Z1099" s="859"/>
      <c r="AA1099" s="859"/>
      <c r="AB1099" s="859"/>
      <c r="AC1099" s="859"/>
      <c r="AD1099" s="859"/>
      <c r="AE1099" s="859"/>
      <c r="AF1099" s="859"/>
    </row>
    <row r="1100" spans="1:32" ht="42">
      <c r="A1100" s="827">
        <v>1065</v>
      </c>
      <c r="B1100" s="828" t="s">
        <v>544</v>
      </c>
      <c r="C1100" s="828" t="s">
        <v>2126</v>
      </c>
      <c r="D1100" s="829" t="s">
        <v>2127</v>
      </c>
      <c r="E1100" s="830" t="s">
        <v>4794</v>
      </c>
      <c r="F1100" s="830" t="s">
        <v>4794</v>
      </c>
      <c r="G1100" s="830" t="s">
        <v>4794</v>
      </c>
      <c r="H1100" s="830" t="s">
        <v>4794</v>
      </c>
      <c r="I1100" s="830" t="s">
        <v>4794</v>
      </c>
      <c r="J1100" s="830" t="s">
        <v>4794</v>
      </c>
      <c r="K1100" s="830" t="s">
        <v>4794</v>
      </c>
      <c r="L1100" s="831">
        <v>1</v>
      </c>
      <c r="M1100" s="830" t="s">
        <v>4794</v>
      </c>
      <c r="N1100" s="830" t="s">
        <v>4794</v>
      </c>
      <c r="O1100" s="830" t="s">
        <v>4794</v>
      </c>
      <c r="P1100" s="830" t="s">
        <v>4794</v>
      </c>
      <c r="Q1100" s="832">
        <f t="shared" si="15"/>
        <v>1</v>
      </c>
      <c r="R1100" s="833" t="s">
        <v>4025</v>
      </c>
      <c r="S1100" s="859"/>
      <c r="T1100" s="859"/>
      <c r="U1100" s="859"/>
      <c r="V1100" s="859"/>
      <c r="W1100" s="859"/>
      <c r="X1100" s="859"/>
      <c r="Y1100" s="859"/>
      <c r="Z1100" s="859"/>
      <c r="AA1100" s="859"/>
      <c r="AB1100" s="859"/>
      <c r="AC1100" s="859"/>
      <c r="AD1100" s="859"/>
      <c r="AE1100" s="859"/>
      <c r="AF1100" s="859"/>
    </row>
    <row r="1101" spans="1:32" ht="42">
      <c r="A1101" s="827">
        <v>1066</v>
      </c>
      <c r="B1101" s="828" t="s">
        <v>544</v>
      </c>
      <c r="C1101" s="828" t="s">
        <v>2128</v>
      </c>
      <c r="D1101" s="829" t="s">
        <v>2129</v>
      </c>
      <c r="E1101" s="830" t="s">
        <v>4794</v>
      </c>
      <c r="F1101" s="830" t="s">
        <v>4794</v>
      </c>
      <c r="G1101" s="830" t="s">
        <v>4794</v>
      </c>
      <c r="H1101" s="830" t="s">
        <v>4794</v>
      </c>
      <c r="I1101" s="830"/>
      <c r="J1101" s="830" t="s">
        <v>4794</v>
      </c>
      <c r="K1101" s="830" t="s">
        <v>4794</v>
      </c>
      <c r="L1101" s="830" t="s">
        <v>4794</v>
      </c>
      <c r="M1101" s="831">
        <v>1</v>
      </c>
      <c r="N1101" s="830" t="s">
        <v>4794</v>
      </c>
      <c r="O1101" s="830" t="s">
        <v>4794</v>
      </c>
      <c r="P1101" s="830" t="s">
        <v>4794</v>
      </c>
      <c r="Q1101" s="832">
        <f t="shared" si="15"/>
        <v>1</v>
      </c>
      <c r="R1101" s="833" t="s">
        <v>4025</v>
      </c>
      <c r="S1101" s="859"/>
      <c r="T1101" s="859"/>
      <c r="U1101" s="859"/>
      <c r="V1101" s="859"/>
      <c r="W1101" s="859"/>
      <c r="X1101" s="859"/>
      <c r="Y1101" s="859"/>
      <c r="Z1101" s="859"/>
      <c r="AA1101" s="859"/>
      <c r="AB1101" s="859"/>
      <c r="AC1101" s="859"/>
      <c r="AD1101" s="859"/>
      <c r="AE1101" s="859"/>
      <c r="AF1101" s="859"/>
    </row>
    <row r="1102" spans="1:32" ht="42">
      <c r="A1102" s="827">
        <v>1067</v>
      </c>
      <c r="B1102" s="828" t="s">
        <v>544</v>
      </c>
      <c r="C1102" s="828" t="s">
        <v>2130</v>
      </c>
      <c r="D1102" s="829" t="s">
        <v>2131</v>
      </c>
      <c r="E1102" s="830" t="s">
        <v>4794</v>
      </c>
      <c r="F1102" s="830" t="s">
        <v>4794</v>
      </c>
      <c r="G1102" s="830" t="s">
        <v>4794</v>
      </c>
      <c r="H1102" s="830" t="s">
        <v>4794</v>
      </c>
      <c r="I1102" s="830" t="s">
        <v>4794</v>
      </c>
      <c r="J1102" s="830" t="s">
        <v>4794</v>
      </c>
      <c r="K1102" s="830" t="s">
        <v>4794</v>
      </c>
      <c r="L1102" s="830" t="s">
        <v>4794</v>
      </c>
      <c r="M1102" s="831">
        <v>1</v>
      </c>
      <c r="N1102" s="830" t="s">
        <v>4794</v>
      </c>
      <c r="O1102" s="830" t="s">
        <v>4794</v>
      </c>
      <c r="P1102" s="830" t="s">
        <v>4794</v>
      </c>
      <c r="Q1102" s="832">
        <f t="shared" si="15"/>
        <v>1</v>
      </c>
      <c r="R1102" s="833" t="s">
        <v>4025</v>
      </c>
      <c r="S1102" s="859"/>
      <c r="T1102" s="859"/>
      <c r="U1102" s="859"/>
      <c r="V1102" s="859"/>
      <c r="W1102" s="859"/>
      <c r="X1102" s="859"/>
      <c r="Y1102" s="859"/>
      <c r="Z1102" s="859"/>
      <c r="AA1102" s="859"/>
      <c r="AB1102" s="859"/>
      <c r="AC1102" s="859"/>
      <c r="AD1102" s="859"/>
      <c r="AE1102" s="859"/>
      <c r="AF1102" s="859"/>
    </row>
    <row r="1103" spans="1:32" ht="42">
      <c r="A1103" s="827">
        <v>1068</v>
      </c>
      <c r="B1103" s="828" t="s">
        <v>544</v>
      </c>
      <c r="C1103" s="828" t="s">
        <v>2132</v>
      </c>
      <c r="D1103" s="829" t="s">
        <v>2133</v>
      </c>
      <c r="E1103" s="830" t="s">
        <v>4794</v>
      </c>
      <c r="F1103" s="830" t="s">
        <v>4794</v>
      </c>
      <c r="G1103" s="830" t="s">
        <v>4794</v>
      </c>
      <c r="H1103" s="830" t="s">
        <v>4794</v>
      </c>
      <c r="I1103" s="830" t="s">
        <v>4794</v>
      </c>
      <c r="J1103" s="831">
        <v>1</v>
      </c>
      <c r="K1103" s="830" t="s">
        <v>4794</v>
      </c>
      <c r="L1103" s="830" t="s">
        <v>4794</v>
      </c>
      <c r="M1103" s="830" t="s">
        <v>4794</v>
      </c>
      <c r="N1103" s="830" t="s">
        <v>4794</v>
      </c>
      <c r="O1103" s="830" t="s">
        <v>4794</v>
      </c>
      <c r="P1103" s="830" t="s">
        <v>4794</v>
      </c>
      <c r="Q1103" s="832">
        <f t="shared" si="15"/>
        <v>1</v>
      </c>
      <c r="R1103" s="833" t="s">
        <v>4025</v>
      </c>
      <c r="S1103" s="859"/>
      <c r="T1103" s="859"/>
      <c r="U1103" s="859"/>
      <c r="V1103" s="859"/>
      <c r="W1103" s="859"/>
      <c r="X1103" s="859"/>
      <c r="Y1103" s="859"/>
      <c r="Z1103" s="859"/>
      <c r="AA1103" s="859"/>
      <c r="AB1103" s="859"/>
      <c r="AC1103" s="859"/>
      <c r="AD1103" s="859"/>
      <c r="AE1103" s="859"/>
      <c r="AF1103" s="859"/>
    </row>
    <row r="1104" spans="1:32" ht="42">
      <c r="A1104" s="827">
        <v>1069</v>
      </c>
      <c r="B1104" s="828" t="s">
        <v>544</v>
      </c>
      <c r="C1104" s="828" t="s">
        <v>2134</v>
      </c>
      <c r="D1104" s="829" t="s">
        <v>2135</v>
      </c>
      <c r="E1104" s="830" t="s">
        <v>4794</v>
      </c>
      <c r="F1104" s="830" t="s">
        <v>4794</v>
      </c>
      <c r="G1104" s="830" t="s">
        <v>4794</v>
      </c>
      <c r="H1104" s="830" t="s">
        <v>4794</v>
      </c>
      <c r="I1104" s="830" t="s">
        <v>4794</v>
      </c>
      <c r="J1104" s="830" t="s">
        <v>4794</v>
      </c>
      <c r="K1104" s="830" t="s">
        <v>4794</v>
      </c>
      <c r="L1104" s="830" t="s">
        <v>4794</v>
      </c>
      <c r="M1104" s="831">
        <v>1</v>
      </c>
      <c r="N1104" s="830" t="s">
        <v>4794</v>
      </c>
      <c r="O1104" s="830" t="s">
        <v>4794</v>
      </c>
      <c r="P1104" s="830" t="s">
        <v>4794</v>
      </c>
      <c r="Q1104" s="832">
        <f t="shared" si="15"/>
        <v>1</v>
      </c>
      <c r="R1104" s="833" t="s">
        <v>4025</v>
      </c>
      <c r="S1104" s="859"/>
      <c r="T1104" s="859"/>
      <c r="U1104" s="859"/>
      <c r="V1104" s="859"/>
      <c r="W1104" s="859"/>
      <c r="X1104" s="859"/>
      <c r="Y1104" s="859"/>
      <c r="Z1104" s="859"/>
      <c r="AA1104" s="859"/>
      <c r="AB1104" s="859"/>
      <c r="AC1104" s="859"/>
      <c r="AD1104" s="859"/>
      <c r="AE1104" s="859"/>
      <c r="AF1104" s="859"/>
    </row>
    <row r="1105" spans="1:32" ht="42">
      <c r="A1105" s="827">
        <v>1070</v>
      </c>
      <c r="B1105" s="828" t="s">
        <v>544</v>
      </c>
      <c r="C1105" s="828" t="s">
        <v>2136</v>
      </c>
      <c r="D1105" s="829" t="s">
        <v>2137</v>
      </c>
      <c r="E1105" s="830" t="s">
        <v>4794</v>
      </c>
      <c r="F1105" s="830" t="s">
        <v>4794</v>
      </c>
      <c r="G1105" s="831">
        <v>1</v>
      </c>
      <c r="H1105" s="830" t="s">
        <v>4794</v>
      </c>
      <c r="I1105" s="830" t="s">
        <v>4794</v>
      </c>
      <c r="J1105" s="830" t="s">
        <v>4794</v>
      </c>
      <c r="K1105" s="830" t="s">
        <v>4794</v>
      </c>
      <c r="L1105" s="830" t="s">
        <v>4794</v>
      </c>
      <c r="M1105" s="830" t="s">
        <v>4794</v>
      </c>
      <c r="N1105" s="830" t="s">
        <v>4794</v>
      </c>
      <c r="O1105" s="830" t="s">
        <v>4794</v>
      </c>
      <c r="P1105" s="830" t="s">
        <v>4794</v>
      </c>
      <c r="Q1105" s="832">
        <f t="shared" si="15"/>
        <v>1</v>
      </c>
      <c r="R1105" s="833" t="s">
        <v>4025</v>
      </c>
      <c r="S1105" s="859"/>
      <c r="T1105" s="859"/>
      <c r="U1105" s="859"/>
      <c r="V1105" s="859"/>
      <c r="W1105" s="859"/>
      <c r="X1105" s="859"/>
      <c r="Y1105" s="859"/>
      <c r="Z1105" s="859"/>
      <c r="AA1105" s="859"/>
      <c r="AB1105" s="859"/>
      <c r="AC1105" s="859"/>
      <c r="AD1105" s="859"/>
      <c r="AE1105" s="859"/>
      <c r="AF1105" s="859"/>
    </row>
    <row r="1106" spans="1:32" ht="42">
      <c r="A1106" s="827">
        <v>1071</v>
      </c>
      <c r="B1106" s="828" t="s">
        <v>544</v>
      </c>
      <c r="C1106" s="828" t="s">
        <v>2138</v>
      </c>
      <c r="D1106" s="829" t="s">
        <v>2139</v>
      </c>
      <c r="E1106" s="830" t="s">
        <v>4794</v>
      </c>
      <c r="F1106" s="830" t="s">
        <v>4794</v>
      </c>
      <c r="G1106" s="830" t="s">
        <v>4794</v>
      </c>
      <c r="H1106" s="831">
        <v>1</v>
      </c>
      <c r="I1106" s="830" t="s">
        <v>4794</v>
      </c>
      <c r="J1106" s="830" t="s">
        <v>4794</v>
      </c>
      <c r="K1106" s="830" t="s">
        <v>4794</v>
      </c>
      <c r="L1106" s="830" t="s">
        <v>4794</v>
      </c>
      <c r="M1106" s="830" t="s">
        <v>4794</v>
      </c>
      <c r="N1106" s="830" t="s">
        <v>4794</v>
      </c>
      <c r="O1106" s="830" t="s">
        <v>4794</v>
      </c>
      <c r="P1106" s="830" t="s">
        <v>4794</v>
      </c>
      <c r="Q1106" s="832">
        <f t="shared" si="15"/>
        <v>1</v>
      </c>
      <c r="R1106" s="833" t="s">
        <v>4025</v>
      </c>
      <c r="S1106" s="859"/>
      <c r="T1106" s="859"/>
      <c r="U1106" s="859"/>
      <c r="V1106" s="859"/>
      <c r="W1106" s="859"/>
      <c r="X1106" s="859"/>
      <c r="Y1106" s="859"/>
      <c r="Z1106" s="859"/>
      <c r="AA1106" s="859"/>
      <c r="AB1106" s="859"/>
      <c r="AC1106" s="859"/>
      <c r="AD1106" s="859"/>
      <c r="AE1106" s="859"/>
      <c r="AF1106" s="859"/>
    </row>
    <row r="1107" spans="1:32" ht="42">
      <c r="A1107" s="827">
        <v>1072</v>
      </c>
      <c r="B1107" s="828" t="s">
        <v>544</v>
      </c>
      <c r="C1107" s="828" t="s">
        <v>2140</v>
      </c>
      <c r="D1107" s="829" t="s">
        <v>2141</v>
      </c>
      <c r="E1107" s="830" t="s">
        <v>4794</v>
      </c>
      <c r="F1107" s="830" t="s">
        <v>4794</v>
      </c>
      <c r="G1107" s="830" t="s">
        <v>4794</v>
      </c>
      <c r="H1107" s="830" t="s">
        <v>4794</v>
      </c>
      <c r="I1107" s="830" t="s">
        <v>4794</v>
      </c>
      <c r="J1107" s="830" t="s">
        <v>4794</v>
      </c>
      <c r="K1107" s="830" t="s">
        <v>4794</v>
      </c>
      <c r="L1107" s="830" t="s">
        <v>4794</v>
      </c>
      <c r="M1107" s="831">
        <v>1</v>
      </c>
      <c r="N1107" s="830" t="s">
        <v>4794</v>
      </c>
      <c r="O1107" s="830" t="s">
        <v>4794</v>
      </c>
      <c r="P1107" s="830" t="s">
        <v>4794</v>
      </c>
      <c r="Q1107" s="832">
        <f t="shared" si="15"/>
        <v>1</v>
      </c>
      <c r="R1107" s="833" t="s">
        <v>4025</v>
      </c>
      <c r="S1107" s="859"/>
      <c r="T1107" s="859"/>
      <c r="U1107" s="859"/>
      <c r="V1107" s="859"/>
      <c r="W1107" s="859"/>
      <c r="X1107" s="859"/>
      <c r="Y1107" s="859"/>
      <c r="Z1107" s="859"/>
      <c r="AA1107" s="859"/>
      <c r="AB1107" s="859"/>
      <c r="AC1107" s="859"/>
      <c r="AD1107" s="859"/>
      <c r="AE1107" s="859"/>
      <c r="AF1107" s="859"/>
    </row>
    <row r="1108" spans="1:32" ht="52.5">
      <c r="A1108" s="827">
        <v>1073</v>
      </c>
      <c r="B1108" s="828" t="s">
        <v>544</v>
      </c>
      <c r="C1108" s="828" t="s">
        <v>2142</v>
      </c>
      <c r="D1108" s="829" t="s">
        <v>2143</v>
      </c>
      <c r="E1108" s="830" t="s">
        <v>4794</v>
      </c>
      <c r="F1108" s="830" t="s">
        <v>4794</v>
      </c>
      <c r="G1108" s="830" t="s">
        <v>4794</v>
      </c>
      <c r="H1108" s="830"/>
      <c r="I1108" s="830" t="s">
        <v>4794</v>
      </c>
      <c r="J1108" s="830" t="s">
        <v>4794</v>
      </c>
      <c r="K1108" s="831">
        <v>1</v>
      </c>
      <c r="L1108" s="830" t="s">
        <v>4794</v>
      </c>
      <c r="M1108" s="830" t="s">
        <v>4794</v>
      </c>
      <c r="N1108" s="830" t="s">
        <v>4794</v>
      </c>
      <c r="O1108" s="830" t="s">
        <v>4794</v>
      </c>
      <c r="P1108" s="830" t="s">
        <v>4794</v>
      </c>
      <c r="Q1108" s="832">
        <f t="shared" si="15"/>
        <v>1</v>
      </c>
      <c r="R1108" s="833" t="s">
        <v>4025</v>
      </c>
      <c r="S1108" s="859"/>
      <c r="T1108" s="859"/>
      <c r="U1108" s="859"/>
      <c r="V1108" s="859"/>
      <c r="W1108" s="859"/>
      <c r="X1108" s="859"/>
      <c r="Y1108" s="859"/>
      <c r="Z1108" s="859"/>
      <c r="AA1108" s="859"/>
      <c r="AB1108" s="859"/>
      <c r="AC1108" s="859"/>
      <c r="AD1108" s="859"/>
      <c r="AE1108" s="859"/>
      <c r="AF1108" s="859"/>
    </row>
    <row r="1109" spans="1:32" ht="42">
      <c r="A1109" s="827">
        <v>1074</v>
      </c>
      <c r="B1109" s="828" t="s">
        <v>544</v>
      </c>
      <c r="C1109" s="828" t="s">
        <v>2144</v>
      </c>
      <c r="D1109" s="829" t="s">
        <v>2145</v>
      </c>
      <c r="E1109" s="830" t="s">
        <v>4794</v>
      </c>
      <c r="F1109" s="830" t="s">
        <v>4794</v>
      </c>
      <c r="G1109" s="830" t="s">
        <v>4794</v>
      </c>
      <c r="H1109" s="831">
        <v>5</v>
      </c>
      <c r="I1109" s="830" t="s">
        <v>4794</v>
      </c>
      <c r="J1109" s="830" t="s">
        <v>4794</v>
      </c>
      <c r="K1109" s="830" t="s">
        <v>4794</v>
      </c>
      <c r="L1109" s="830" t="s">
        <v>4794</v>
      </c>
      <c r="M1109" s="830" t="s">
        <v>4794</v>
      </c>
      <c r="N1109" s="830" t="s">
        <v>4794</v>
      </c>
      <c r="O1109" s="830" t="s">
        <v>4794</v>
      </c>
      <c r="P1109" s="830" t="s">
        <v>4794</v>
      </c>
      <c r="Q1109" s="832">
        <f t="shared" si="15"/>
        <v>5</v>
      </c>
      <c r="R1109" s="833" t="s">
        <v>4025</v>
      </c>
      <c r="S1109" s="859"/>
      <c r="T1109" s="859"/>
      <c r="U1109" s="859"/>
      <c r="V1109" s="859"/>
      <c r="W1109" s="859"/>
      <c r="X1109" s="859"/>
      <c r="Y1109" s="859"/>
      <c r="Z1109" s="859"/>
      <c r="AA1109" s="859"/>
      <c r="AB1109" s="859"/>
      <c r="AC1109" s="859"/>
      <c r="AD1109" s="859"/>
      <c r="AE1109" s="859"/>
      <c r="AF1109" s="859"/>
    </row>
    <row r="1110" spans="1:32" ht="63">
      <c r="A1110" s="827">
        <v>1075</v>
      </c>
      <c r="B1110" s="828" t="s">
        <v>544</v>
      </c>
      <c r="C1110" s="828" t="s">
        <v>2146</v>
      </c>
      <c r="D1110" s="829" t="s">
        <v>2147</v>
      </c>
      <c r="E1110" s="830" t="s">
        <v>4794</v>
      </c>
      <c r="F1110" s="830" t="s">
        <v>4794</v>
      </c>
      <c r="G1110" s="830" t="s">
        <v>4794</v>
      </c>
      <c r="H1110" s="830"/>
      <c r="I1110" s="831">
        <v>1</v>
      </c>
      <c r="J1110" s="830" t="s">
        <v>4794</v>
      </c>
      <c r="K1110" s="830" t="s">
        <v>4794</v>
      </c>
      <c r="L1110" s="830" t="s">
        <v>4794</v>
      </c>
      <c r="M1110" s="830" t="s">
        <v>4794</v>
      </c>
      <c r="N1110" s="830" t="s">
        <v>4794</v>
      </c>
      <c r="O1110" s="830" t="s">
        <v>4794</v>
      </c>
      <c r="P1110" s="830" t="s">
        <v>4794</v>
      </c>
      <c r="Q1110" s="832">
        <f t="shared" si="15"/>
        <v>1</v>
      </c>
      <c r="R1110" s="833" t="s">
        <v>4025</v>
      </c>
      <c r="S1110" s="859"/>
      <c r="T1110" s="859"/>
      <c r="U1110" s="859"/>
      <c r="V1110" s="859"/>
      <c r="W1110" s="859"/>
      <c r="X1110" s="859"/>
      <c r="Y1110" s="859"/>
      <c r="Z1110" s="859"/>
      <c r="AA1110" s="859"/>
      <c r="AB1110" s="859"/>
      <c r="AC1110" s="859"/>
      <c r="AD1110" s="859"/>
      <c r="AE1110" s="859"/>
      <c r="AF1110" s="859"/>
    </row>
    <row r="1111" spans="1:32" ht="52.5">
      <c r="A1111" s="827">
        <v>1076</v>
      </c>
      <c r="B1111" s="828" t="s">
        <v>544</v>
      </c>
      <c r="C1111" s="828" t="s">
        <v>2148</v>
      </c>
      <c r="D1111" s="829" t="s">
        <v>2149</v>
      </c>
      <c r="E1111" s="830" t="s">
        <v>4794</v>
      </c>
      <c r="F1111" s="830" t="s">
        <v>4794</v>
      </c>
      <c r="G1111" s="830"/>
      <c r="H1111" s="830" t="s">
        <v>4794</v>
      </c>
      <c r="I1111" s="831">
        <v>1</v>
      </c>
      <c r="J1111" s="830"/>
      <c r="K1111" s="830" t="s">
        <v>4794</v>
      </c>
      <c r="L1111" s="830" t="s">
        <v>4794</v>
      </c>
      <c r="M1111" s="830" t="s">
        <v>4794</v>
      </c>
      <c r="N1111" s="830" t="s">
        <v>4794</v>
      </c>
      <c r="O1111" s="830" t="s">
        <v>4794</v>
      </c>
      <c r="P1111" s="830" t="s">
        <v>4794</v>
      </c>
      <c r="Q1111" s="832">
        <f t="shared" si="15"/>
        <v>1</v>
      </c>
      <c r="R1111" s="833" t="s">
        <v>4025</v>
      </c>
      <c r="S1111" s="859"/>
      <c r="T1111" s="859"/>
      <c r="U1111" s="859"/>
      <c r="V1111" s="859"/>
      <c r="W1111" s="859"/>
      <c r="X1111" s="859"/>
      <c r="Y1111" s="859"/>
      <c r="Z1111" s="859"/>
      <c r="AA1111" s="859"/>
      <c r="AB1111" s="859"/>
      <c r="AC1111" s="859"/>
      <c r="AD1111" s="859"/>
      <c r="AE1111" s="859"/>
      <c r="AF1111" s="859"/>
    </row>
    <row r="1112" spans="1:32" ht="31.5">
      <c r="A1112" s="827">
        <v>1077</v>
      </c>
      <c r="B1112" s="828" t="s">
        <v>544</v>
      </c>
      <c r="C1112" s="828">
        <v>3704225</v>
      </c>
      <c r="D1112" s="829" t="s">
        <v>2150</v>
      </c>
      <c r="E1112" s="830"/>
      <c r="F1112" s="830"/>
      <c r="G1112" s="830"/>
      <c r="H1112" s="831">
        <v>2</v>
      </c>
      <c r="I1112" s="830"/>
      <c r="J1112" s="830"/>
      <c r="K1112" s="830"/>
      <c r="L1112" s="830"/>
      <c r="M1112" s="830"/>
      <c r="N1112" s="830"/>
      <c r="O1112" s="830"/>
      <c r="P1112" s="830"/>
      <c r="Q1112" s="832">
        <f t="shared" si="15"/>
        <v>2</v>
      </c>
      <c r="R1112" s="833" t="s">
        <v>4025</v>
      </c>
      <c r="S1112" s="859"/>
      <c r="T1112" s="859"/>
      <c r="U1112" s="859"/>
      <c r="V1112" s="859"/>
      <c r="W1112" s="859"/>
      <c r="X1112" s="859"/>
      <c r="Y1112" s="859"/>
      <c r="Z1112" s="859"/>
      <c r="AA1112" s="859"/>
      <c r="AB1112" s="859"/>
      <c r="AC1112" s="859"/>
      <c r="AD1112" s="859"/>
      <c r="AE1112" s="859"/>
      <c r="AF1112" s="859"/>
    </row>
    <row r="1113" spans="1:32" ht="42">
      <c r="A1113" s="827">
        <v>1078</v>
      </c>
      <c r="B1113" s="828" t="s">
        <v>544</v>
      </c>
      <c r="C1113" s="828">
        <v>3905292</v>
      </c>
      <c r="D1113" s="829" t="s">
        <v>2151</v>
      </c>
      <c r="E1113" s="830"/>
      <c r="F1113" s="830"/>
      <c r="G1113" s="830"/>
      <c r="H1113" s="830"/>
      <c r="I1113" s="831">
        <v>4</v>
      </c>
      <c r="J1113" s="830"/>
      <c r="K1113" s="830"/>
      <c r="L1113" s="830"/>
      <c r="M1113" s="830"/>
      <c r="N1113" s="830"/>
      <c r="O1113" s="830"/>
      <c r="P1113" s="830"/>
      <c r="Q1113" s="832">
        <f t="shared" si="15"/>
        <v>4</v>
      </c>
      <c r="R1113" s="833" t="s">
        <v>4025</v>
      </c>
      <c r="S1113" s="859"/>
      <c r="T1113" s="859"/>
      <c r="U1113" s="859"/>
      <c r="V1113" s="859"/>
      <c r="W1113" s="859"/>
      <c r="X1113" s="859"/>
      <c r="Y1113" s="859"/>
      <c r="Z1113" s="859"/>
      <c r="AA1113" s="859"/>
      <c r="AB1113" s="859"/>
      <c r="AC1113" s="859"/>
      <c r="AD1113" s="859"/>
      <c r="AE1113" s="859"/>
      <c r="AF1113" s="859"/>
    </row>
    <row r="1114" spans="1:32" ht="31.5">
      <c r="A1114" s="827">
        <v>1079</v>
      </c>
      <c r="B1114" s="828" t="s">
        <v>544</v>
      </c>
      <c r="C1114" s="828">
        <v>3905049</v>
      </c>
      <c r="D1114" s="829" t="s">
        <v>2152</v>
      </c>
      <c r="E1114" s="830"/>
      <c r="F1114" s="830"/>
      <c r="G1114" s="830"/>
      <c r="H1114" s="830"/>
      <c r="I1114" s="831">
        <v>4</v>
      </c>
      <c r="J1114" s="830"/>
      <c r="K1114" s="830"/>
      <c r="L1114" s="830"/>
      <c r="M1114" s="830"/>
      <c r="N1114" s="830"/>
      <c r="O1114" s="830"/>
      <c r="P1114" s="830"/>
      <c r="Q1114" s="832">
        <f t="shared" si="15"/>
        <v>4</v>
      </c>
      <c r="R1114" s="833" t="s">
        <v>4025</v>
      </c>
      <c r="S1114" s="859"/>
      <c r="T1114" s="859"/>
      <c r="U1114" s="859"/>
      <c r="V1114" s="859"/>
      <c r="W1114" s="859"/>
      <c r="X1114" s="859"/>
      <c r="Y1114" s="859"/>
      <c r="Z1114" s="859"/>
      <c r="AA1114" s="859"/>
      <c r="AB1114" s="859"/>
      <c r="AC1114" s="859"/>
      <c r="AD1114" s="859"/>
      <c r="AE1114" s="859"/>
      <c r="AF1114" s="859"/>
    </row>
    <row r="1115" spans="1:32" ht="31.5">
      <c r="A1115" s="827">
        <v>1080</v>
      </c>
      <c r="B1115" s="828" t="s">
        <v>544</v>
      </c>
      <c r="C1115" s="828">
        <v>3905222</v>
      </c>
      <c r="D1115" s="829" t="s">
        <v>2153</v>
      </c>
      <c r="E1115" s="830"/>
      <c r="F1115" s="830"/>
      <c r="G1115" s="830"/>
      <c r="H1115" s="830"/>
      <c r="I1115" s="831">
        <v>4</v>
      </c>
      <c r="J1115" s="830"/>
      <c r="K1115" s="830"/>
      <c r="L1115" s="830"/>
      <c r="M1115" s="830"/>
      <c r="N1115" s="830"/>
      <c r="O1115" s="830"/>
      <c r="P1115" s="830"/>
      <c r="Q1115" s="832">
        <f t="shared" si="15"/>
        <v>4</v>
      </c>
      <c r="R1115" s="833" t="s">
        <v>4025</v>
      </c>
      <c r="S1115" s="859"/>
      <c r="T1115" s="859"/>
      <c r="U1115" s="859"/>
      <c r="V1115" s="859"/>
      <c r="W1115" s="859"/>
      <c r="X1115" s="859"/>
      <c r="Y1115" s="859"/>
      <c r="Z1115" s="859"/>
      <c r="AA1115" s="859"/>
      <c r="AB1115" s="859"/>
      <c r="AC1115" s="859"/>
      <c r="AD1115" s="859"/>
      <c r="AE1115" s="859"/>
      <c r="AF1115" s="859"/>
    </row>
    <row r="1116" spans="1:32" ht="52.5">
      <c r="A1116" s="827">
        <v>1081</v>
      </c>
      <c r="B1116" s="828" t="s">
        <v>544</v>
      </c>
      <c r="C1116" s="828" t="s">
        <v>2154</v>
      </c>
      <c r="D1116" s="829" t="s">
        <v>2155</v>
      </c>
      <c r="E1116" s="830" t="s">
        <v>4794</v>
      </c>
      <c r="F1116" s="830" t="s">
        <v>4794</v>
      </c>
      <c r="G1116" s="830" t="s">
        <v>4794</v>
      </c>
      <c r="H1116" s="830"/>
      <c r="I1116" s="831">
        <v>1</v>
      </c>
      <c r="J1116" s="830" t="s">
        <v>4794</v>
      </c>
      <c r="K1116" s="830" t="s">
        <v>4794</v>
      </c>
      <c r="L1116" s="830" t="s">
        <v>4794</v>
      </c>
      <c r="M1116" s="830" t="s">
        <v>4794</v>
      </c>
      <c r="N1116" s="830" t="s">
        <v>4794</v>
      </c>
      <c r="O1116" s="830" t="s">
        <v>4794</v>
      </c>
      <c r="P1116" s="830" t="s">
        <v>4794</v>
      </c>
      <c r="Q1116" s="832">
        <f t="shared" si="15"/>
        <v>1</v>
      </c>
      <c r="R1116" s="833" t="s">
        <v>4025</v>
      </c>
      <c r="S1116" s="859"/>
      <c r="T1116" s="859"/>
      <c r="U1116" s="859"/>
      <c r="V1116" s="859"/>
      <c r="W1116" s="859"/>
      <c r="X1116" s="859"/>
      <c r="Y1116" s="859"/>
      <c r="Z1116" s="859"/>
      <c r="AA1116" s="859"/>
      <c r="AB1116" s="859"/>
      <c r="AC1116" s="859"/>
      <c r="AD1116" s="859"/>
      <c r="AE1116" s="859"/>
      <c r="AF1116" s="859"/>
    </row>
    <row r="1117" spans="1:32" ht="52.5">
      <c r="A1117" s="827">
        <v>1082</v>
      </c>
      <c r="B1117" s="828" t="s">
        <v>544</v>
      </c>
      <c r="C1117" s="828" t="s">
        <v>2156</v>
      </c>
      <c r="D1117" s="829" t="s">
        <v>2157</v>
      </c>
      <c r="E1117" s="830" t="s">
        <v>4794</v>
      </c>
      <c r="F1117" s="830" t="s">
        <v>4794</v>
      </c>
      <c r="G1117" s="830" t="s">
        <v>4794</v>
      </c>
      <c r="H1117" s="830" t="s">
        <v>4794</v>
      </c>
      <c r="I1117" s="831">
        <v>1</v>
      </c>
      <c r="J1117" s="830" t="s">
        <v>4794</v>
      </c>
      <c r="K1117" s="830" t="s">
        <v>4794</v>
      </c>
      <c r="L1117" s="830" t="s">
        <v>4794</v>
      </c>
      <c r="M1117" s="830" t="s">
        <v>4794</v>
      </c>
      <c r="N1117" s="830" t="s">
        <v>4794</v>
      </c>
      <c r="O1117" s="830" t="s">
        <v>4794</v>
      </c>
      <c r="P1117" s="830" t="s">
        <v>4794</v>
      </c>
      <c r="Q1117" s="832">
        <f t="shared" si="15"/>
        <v>1</v>
      </c>
      <c r="R1117" s="833" t="s">
        <v>4025</v>
      </c>
      <c r="S1117" s="859"/>
      <c r="T1117" s="859"/>
      <c r="U1117" s="859"/>
      <c r="V1117" s="859"/>
      <c r="W1117" s="859"/>
      <c r="X1117" s="859"/>
      <c r="Y1117" s="859"/>
      <c r="Z1117" s="859"/>
      <c r="AA1117" s="859"/>
      <c r="AB1117" s="859"/>
      <c r="AC1117" s="859"/>
      <c r="AD1117" s="859"/>
      <c r="AE1117" s="859"/>
      <c r="AF1117" s="859"/>
    </row>
    <row r="1118" spans="1:32" ht="52.5">
      <c r="A1118" s="827">
        <v>1083</v>
      </c>
      <c r="B1118" s="828" t="s">
        <v>544</v>
      </c>
      <c r="C1118" s="828" t="s">
        <v>2158</v>
      </c>
      <c r="D1118" s="829" t="s">
        <v>2159</v>
      </c>
      <c r="E1118" s="830" t="s">
        <v>4794</v>
      </c>
      <c r="F1118" s="830" t="s">
        <v>4794</v>
      </c>
      <c r="G1118" s="830" t="s">
        <v>4794</v>
      </c>
      <c r="H1118" s="830" t="s">
        <v>4794</v>
      </c>
      <c r="I1118" s="831">
        <v>1</v>
      </c>
      <c r="J1118" s="830" t="s">
        <v>4794</v>
      </c>
      <c r="K1118" s="830" t="s">
        <v>4794</v>
      </c>
      <c r="L1118" s="830" t="s">
        <v>4794</v>
      </c>
      <c r="M1118" s="830" t="s">
        <v>4794</v>
      </c>
      <c r="N1118" s="830" t="s">
        <v>4794</v>
      </c>
      <c r="O1118" s="830" t="s">
        <v>4794</v>
      </c>
      <c r="P1118" s="830" t="s">
        <v>4794</v>
      </c>
      <c r="Q1118" s="832">
        <f t="shared" si="15"/>
        <v>1</v>
      </c>
      <c r="R1118" s="833" t="s">
        <v>4025</v>
      </c>
      <c r="S1118" s="859"/>
      <c r="T1118" s="859"/>
      <c r="U1118" s="859"/>
      <c r="V1118" s="859"/>
      <c r="W1118" s="859"/>
      <c r="X1118" s="859"/>
      <c r="Y1118" s="859"/>
      <c r="Z1118" s="859"/>
      <c r="AA1118" s="859"/>
      <c r="AB1118" s="859"/>
      <c r="AC1118" s="859"/>
      <c r="AD1118" s="859"/>
      <c r="AE1118" s="859"/>
      <c r="AF1118" s="859"/>
    </row>
    <row r="1119" spans="1:32" ht="32.25">
      <c r="A1119" s="827">
        <v>1084</v>
      </c>
      <c r="B1119" s="828" t="s">
        <v>544</v>
      </c>
      <c r="C1119" s="914">
        <v>9103581</v>
      </c>
      <c r="D1119" s="863" t="s">
        <v>2160</v>
      </c>
      <c r="E1119" s="830" t="s">
        <v>4794</v>
      </c>
      <c r="F1119" s="830"/>
      <c r="G1119" s="830" t="s">
        <v>4794</v>
      </c>
      <c r="H1119" s="830" t="s">
        <v>4794</v>
      </c>
      <c r="I1119" s="830"/>
      <c r="J1119" s="830"/>
      <c r="K1119" s="830" t="s">
        <v>4794</v>
      </c>
      <c r="L1119" s="830" t="s">
        <v>4794</v>
      </c>
      <c r="M1119" s="830" t="s">
        <v>4794</v>
      </c>
      <c r="N1119" s="831">
        <v>2</v>
      </c>
      <c r="O1119" s="830" t="s">
        <v>4794</v>
      </c>
      <c r="P1119" s="830" t="s">
        <v>4794</v>
      </c>
      <c r="Q1119" s="832">
        <f t="shared" si="15"/>
        <v>2</v>
      </c>
      <c r="R1119" s="833" t="s">
        <v>4025</v>
      </c>
      <c r="S1119" s="859"/>
      <c r="T1119" s="859"/>
      <c r="U1119" s="859"/>
      <c r="V1119" s="859"/>
      <c r="W1119" s="859"/>
      <c r="X1119" s="859"/>
      <c r="Y1119" s="859"/>
      <c r="Z1119" s="859"/>
      <c r="AA1119" s="859"/>
      <c r="AB1119" s="859"/>
      <c r="AC1119" s="859"/>
      <c r="AD1119" s="859"/>
      <c r="AE1119" s="859"/>
      <c r="AF1119" s="859"/>
    </row>
    <row r="1120" spans="1:32" ht="42.75">
      <c r="A1120" s="827">
        <v>1085</v>
      </c>
      <c r="B1120" s="828" t="s">
        <v>544</v>
      </c>
      <c r="C1120" s="914">
        <v>3608401</v>
      </c>
      <c r="D1120" s="863" t="s">
        <v>2161</v>
      </c>
      <c r="E1120" s="830"/>
      <c r="F1120" s="830" t="s">
        <v>4794</v>
      </c>
      <c r="G1120" s="830" t="s">
        <v>4794</v>
      </c>
      <c r="H1120" s="830"/>
      <c r="I1120" s="830" t="s">
        <v>4794</v>
      </c>
      <c r="J1120" s="830" t="s">
        <v>4794</v>
      </c>
      <c r="K1120" s="830" t="s">
        <v>4794</v>
      </c>
      <c r="L1120" s="830" t="s">
        <v>4794</v>
      </c>
      <c r="M1120" s="830" t="s">
        <v>4794</v>
      </c>
      <c r="N1120" s="831">
        <v>2</v>
      </c>
      <c r="O1120" s="830" t="s">
        <v>4794</v>
      </c>
      <c r="P1120" s="830" t="s">
        <v>4794</v>
      </c>
      <c r="Q1120" s="832">
        <f t="shared" si="15"/>
        <v>2</v>
      </c>
      <c r="R1120" s="833" t="s">
        <v>4025</v>
      </c>
      <c r="S1120" s="859"/>
      <c r="T1120" s="859"/>
      <c r="U1120" s="859"/>
      <c r="V1120" s="859"/>
      <c r="W1120" s="859"/>
      <c r="X1120" s="859"/>
      <c r="Y1120" s="859"/>
      <c r="Z1120" s="859"/>
      <c r="AA1120" s="859"/>
      <c r="AB1120" s="859"/>
      <c r="AC1120" s="859"/>
      <c r="AD1120" s="859"/>
      <c r="AE1120" s="859"/>
      <c r="AF1120" s="859"/>
    </row>
    <row r="1121" spans="1:32" ht="31.5">
      <c r="A1121" s="827">
        <v>1086</v>
      </c>
      <c r="B1121" s="828" t="s">
        <v>544</v>
      </c>
      <c r="C1121" s="828" t="s">
        <v>2162</v>
      </c>
      <c r="D1121" s="829" t="s">
        <v>2163</v>
      </c>
      <c r="E1121" s="830"/>
      <c r="F1121" s="830" t="s">
        <v>4794</v>
      </c>
      <c r="G1121" s="830" t="s">
        <v>4794</v>
      </c>
      <c r="H1121" s="830" t="s">
        <v>4794</v>
      </c>
      <c r="I1121" s="830"/>
      <c r="J1121" s="830" t="s">
        <v>4794</v>
      </c>
      <c r="K1121" s="830" t="s">
        <v>4794</v>
      </c>
      <c r="L1121" s="830" t="s">
        <v>4794</v>
      </c>
      <c r="M1121" s="830" t="s">
        <v>4794</v>
      </c>
      <c r="N1121" s="831">
        <v>2</v>
      </c>
      <c r="O1121" s="830"/>
      <c r="P1121" s="830"/>
      <c r="Q1121" s="832">
        <f t="shared" si="15"/>
        <v>2</v>
      </c>
      <c r="R1121" s="833" t="s">
        <v>4025</v>
      </c>
      <c r="S1121" s="859"/>
      <c r="T1121" s="859"/>
      <c r="U1121" s="859"/>
      <c r="V1121" s="859"/>
      <c r="W1121" s="859"/>
      <c r="X1121" s="859"/>
      <c r="Y1121" s="859"/>
      <c r="Z1121" s="859"/>
      <c r="AA1121" s="859"/>
      <c r="AB1121" s="859"/>
      <c r="AC1121" s="859"/>
      <c r="AD1121" s="859"/>
      <c r="AE1121" s="859"/>
      <c r="AF1121" s="859"/>
    </row>
    <row r="1122" spans="1:32" ht="42">
      <c r="A1122" s="827">
        <v>1087</v>
      </c>
      <c r="B1122" s="828" t="s">
        <v>544</v>
      </c>
      <c r="C1122" s="828" t="s">
        <v>2164</v>
      </c>
      <c r="D1122" s="829" t="s">
        <v>2165</v>
      </c>
      <c r="E1122" s="830" t="s">
        <v>4794</v>
      </c>
      <c r="F1122" s="830" t="s">
        <v>4794</v>
      </c>
      <c r="G1122" s="830"/>
      <c r="H1122" s="830" t="s">
        <v>4794</v>
      </c>
      <c r="I1122" s="830" t="s">
        <v>4794</v>
      </c>
      <c r="J1122" s="831">
        <v>1</v>
      </c>
      <c r="K1122" s="830" t="s">
        <v>4794</v>
      </c>
      <c r="L1122" s="830" t="s">
        <v>4794</v>
      </c>
      <c r="M1122" s="831">
        <v>1</v>
      </c>
      <c r="N1122" s="830" t="s">
        <v>4794</v>
      </c>
      <c r="O1122" s="830" t="s">
        <v>4794</v>
      </c>
      <c r="P1122" s="830" t="s">
        <v>4794</v>
      </c>
      <c r="Q1122" s="832">
        <f t="shared" si="15"/>
        <v>2</v>
      </c>
      <c r="R1122" s="833" t="s">
        <v>4025</v>
      </c>
      <c r="S1122" s="859"/>
      <c r="T1122" s="859"/>
      <c r="U1122" s="859"/>
      <c r="V1122" s="859"/>
      <c r="W1122" s="859"/>
      <c r="X1122" s="859"/>
      <c r="Y1122" s="859"/>
      <c r="Z1122" s="859"/>
      <c r="AA1122" s="859"/>
      <c r="AB1122" s="859"/>
      <c r="AC1122" s="859"/>
      <c r="AD1122" s="859"/>
      <c r="AE1122" s="859"/>
      <c r="AF1122" s="859"/>
    </row>
    <row r="1123" spans="1:32" ht="73.5">
      <c r="A1123" s="827">
        <v>1088</v>
      </c>
      <c r="B1123" s="828" t="s">
        <v>544</v>
      </c>
      <c r="C1123" s="828" t="s">
        <v>2166</v>
      </c>
      <c r="D1123" s="829" t="s">
        <v>2167</v>
      </c>
      <c r="E1123" s="830" t="s">
        <v>4794</v>
      </c>
      <c r="F1123" s="830" t="s">
        <v>4794</v>
      </c>
      <c r="G1123" s="830" t="s">
        <v>4794</v>
      </c>
      <c r="H1123" s="831">
        <v>1</v>
      </c>
      <c r="I1123" s="830" t="s">
        <v>4794</v>
      </c>
      <c r="J1123" s="830" t="s">
        <v>4794</v>
      </c>
      <c r="K1123" s="830" t="s">
        <v>4794</v>
      </c>
      <c r="L1123" s="830" t="s">
        <v>4794</v>
      </c>
      <c r="M1123" s="830" t="s">
        <v>4794</v>
      </c>
      <c r="N1123" s="831">
        <v>1</v>
      </c>
      <c r="O1123" s="830" t="s">
        <v>4794</v>
      </c>
      <c r="P1123" s="830" t="s">
        <v>4794</v>
      </c>
      <c r="Q1123" s="832">
        <f t="shared" si="15"/>
        <v>2</v>
      </c>
      <c r="R1123" s="833" t="s">
        <v>4025</v>
      </c>
      <c r="S1123" s="859"/>
      <c r="T1123" s="859"/>
      <c r="U1123" s="859"/>
      <c r="V1123" s="859"/>
      <c r="W1123" s="859"/>
      <c r="X1123" s="859"/>
      <c r="Y1123" s="859"/>
      <c r="Z1123" s="859"/>
      <c r="AA1123" s="859"/>
      <c r="AB1123" s="859"/>
      <c r="AC1123" s="859"/>
      <c r="AD1123" s="859"/>
      <c r="AE1123" s="859"/>
      <c r="AF1123" s="859"/>
    </row>
    <row r="1124" spans="1:32" ht="21">
      <c r="A1124" s="827">
        <v>1089</v>
      </c>
      <c r="B1124" s="828" t="s">
        <v>544</v>
      </c>
      <c r="C1124" s="828" t="s">
        <v>2168</v>
      </c>
      <c r="D1124" s="829" t="s">
        <v>2169</v>
      </c>
      <c r="E1124" s="830" t="s">
        <v>4794</v>
      </c>
      <c r="F1124" s="830" t="s">
        <v>4794</v>
      </c>
      <c r="G1124" s="830" t="s">
        <v>4794</v>
      </c>
      <c r="H1124" s="830" t="s">
        <v>4794</v>
      </c>
      <c r="I1124" s="830"/>
      <c r="J1124" s="831">
        <v>1</v>
      </c>
      <c r="K1124" s="830" t="s">
        <v>4794</v>
      </c>
      <c r="L1124" s="830" t="s">
        <v>4794</v>
      </c>
      <c r="M1124" s="830" t="s">
        <v>4794</v>
      </c>
      <c r="N1124" s="830" t="s">
        <v>4794</v>
      </c>
      <c r="O1124" s="830" t="s">
        <v>4794</v>
      </c>
      <c r="P1124" s="830" t="s">
        <v>4794</v>
      </c>
      <c r="Q1124" s="832">
        <f t="shared" si="15"/>
        <v>1</v>
      </c>
      <c r="R1124" s="833" t="s">
        <v>4025</v>
      </c>
      <c r="S1124" s="859"/>
      <c r="T1124" s="859"/>
      <c r="U1124" s="859"/>
      <c r="V1124" s="859"/>
      <c r="W1124" s="859"/>
      <c r="X1124" s="859"/>
      <c r="Y1124" s="859"/>
      <c r="Z1124" s="859"/>
      <c r="AA1124" s="859"/>
      <c r="AB1124" s="859"/>
      <c r="AC1124" s="859"/>
      <c r="AD1124" s="859"/>
      <c r="AE1124" s="859"/>
      <c r="AF1124" s="859"/>
    </row>
    <row r="1125" spans="1:32" ht="52.5">
      <c r="A1125" s="827">
        <v>1090</v>
      </c>
      <c r="B1125" s="828" t="s">
        <v>544</v>
      </c>
      <c r="C1125" s="873">
        <v>3704685</v>
      </c>
      <c r="D1125" s="931" t="s">
        <v>2170</v>
      </c>
      <c r="E1125" s="932"/>
      <c r="F1125" s="830"/>
      <c r="G1125" s="830"/>
      <c r="H1125" s="830"/>
      <c r="I1125" s="831">
        <v>1</v>
      </c>
      <c r="J1125" s="830"/>
      <c r="K1125" s="830"/>
      <c r="L1125" s="830"/>
      <c r="M1125" s="830"/>
      <c r="N1125" s="830"/>
      <c r="O1125" s="830"/>
      <c r="P1125" s="830"/>
      <c r="Q1125" s="832">
        <f t="shared" si="15"/>
        <v>1</v>
      </c>
      <c r="R1125" s="833" t="s">
        <v>4025</v>
      </c>
      <c r="S1125" s="859"/>
      <c r="T1125" s="859"/>
      <c r="U1125" s="859"/>
      <c r="V1125" s="859"/>
      <c r="W1125" s="859"/>
      <c r="X1125" s="859"/>
      <c r="Y1125" s="859"/>
      <c r="Z1125" s="859"/>
      <c r="AA1125" s="859"/>
      <c r="AB1125" s="859"/>
      <c r="AC1125" s="859"/>
      <c r="AD1125" s="859"/>
      <c r="AE1125" s="859"/>
      <c r="AF1125" s="859"/>
    </row>
    <row r="1126" spans="1:32" ht="52.5">
      <c r="A1126" s="827">
        <v>1091</v>
      </c>
      <c r="B1126" s="828" t="s">
        <v>544</v>
      </c>
      <c r="C1126" s="873">
        <v>3610875</v>
      </c>
      <c r="D1126" s="933" t="s">
        <v>652</v>
      </c>
      <c r="E1126" s="934"/>
      <c r="F1126" s="935"/>
      <c r="G1126" s="935"/>
      <c r="H1126" s="936">
        <v>2</v>
      </c>
      <c r="I1126" s="935"/>
      <c r="J1126" s="935"/>
      <c r="K1126" s="935"/>
      <c r="L1126" s="935"/>
      <c r="M1126" s="935"/>
      <c r="N1126" s="935"/>
      <c r="O1126" s="935"/>
      <c r="P1126" s="935"/>
      <c r="Q1126" s="832">
        <f t="shared" si="15"/>
        <v>2</v>
      </c>
      <c r="R1126" s="833" t="s">
        <v>4025</v>
      </c>
      <c r="S1126" s="859"/>
      <c r="T1126" s="859"/>
      <c r="U1126" s="859"/>
      <c r="V1126" s="859"/>
      <c r="W1126" s="859"/>
      <c r="X1126" s="859"/>
      <c r="Y1126" s="859"/>
      <c r="Z1126" s="859"/>
      <c r="AA1126" s="859"/>
      <c r="AB1126" s="859"/>
      <c r="AC1126" s="859"/>
      <c r="AD1126" s="859"/>
      <c r="AE1126" s="859"/>
      <c r="AF1126" s="859"/>
    </row>
    <row r="1127" spans="1:32" ht="31.5">
      <c r="A1127" s="827">
        <v>1092</v>
      </c>
      <c r="B1127" s="828" t="s">
        <v>544</v>
      </c>
      <c r="C1127" s="873">
        <v>7325</v>
      </c>
      <c r="D1127" s="933" t="s">
        <v>1866</v>
      </c>
      <c r="E1127" s="934"/>
      <c r="F1127" s="935"/>
      <c r="G1127" s="935"/>
      <c r="H1127" s="935"/>
      <c r="I1127" s="936">
        <v>3</v>
      </c>
      <c r="J1127" s="935"/>
      <c r="K1127" s="935"/>
      <c r="L1127" s="935"/>
      <c r="M1127" s="935"/>
      <c r="N1127" s="935"/>
      <c r="O1127" s="935"/>
      <c r="P1127" s="935"/>
      <c r="Q1127" s="832">
        <f t="shared" si="15"/>
        <v>3</v>
      </c>
      <c r="R1127" s="833" t="s">
        <v>4025</v>
      </c>
      <c r="S1127" s="859"/>
      <c r="T1127" s="859"/>
      <c r="U1127" s="859"/>
      <c r="V1127" s="859"/>
      <c r="W1127" s="859"/>
      <c r="X1127" s="859"/>
      <c r="Y1127" s="859"/>
      <c r="Z1127" s="859"/>
      <c r="AA1127" s="859"/>
      <c r="AB1127" s="859"/>
      <c r="AC1127" s="859"/>
      <c r="AD1127" s="859"/>
      <c r="AE1127" s="859"/>
      <c r="AF1127" s="859"/>
    </row>
    <row r="1128" spans="1:32" ht="32.25">
      <c r="A1128" s="827">
        <v>1093</v>
      </c>
      <c r="B1128" s="828" t="s">
        <v>544</v>
      </c>
      <c r="C1128" s="914">
        <v>4209033</v>
      </c>
      <c r="D1128" s="863" t="s">
        <v>1867</v>
      </c>
      <c r="E1128" s="868"/>
      <c r="F1128" s="868"/>
      <c r="G1128" s="869">
        <v>3</v>
      </c>
      <c r="H1128" s="868"/>
      <c r="I1128" s="868"/>
      <c r="J1128" s="868"/>
      <c r="K1128" s="868"/>
      <c r="L1128" s="868"/>
      <c r="M1128" s="868"/>
      <c r="N1128" s="868"/>
      <c r="O1128" s="868"/>
      <c r="P1128" s="868"/>
      <c r="Q1128" s="832">
        <f t="shared" si="15"/>
        <v>3</v>
      </c>
      <c r="R1128" s="833" t="s">
        <v>4025</v>
      </c>
      <c r="S1128" s="859"/>
      <c r="T1128" s="859"/>
      <c r="U1128" s="859"/>
      <c r="V1128" s="859"/>
      <c r="W1128" s="859"/>
      <c r="X1128" s="859"/>
      <c r="Y1128" s="859"/>
      <c r="Z1128" s="859"/>
      <c r="AA1128" s="859"/>
      <c r="AB1128" s="859"/>
      <c r="AC1128" s="859"/>
      <c r="AD1128" s="859"/>
      <c r="AE1128" s="859"/>
      <c r="AF1128" s="859"/>
    </row>
    <row r="1129" spans="1:32" ht="32.25" thickBot="1">
      <c r="A1129" s="838">
        <v>1094</v>
      </c>
      <c r="B1129" s="839" t="s">
        <v>544</v>
      </c>
      <c r="C1129" s="839" t="s">
        <v>3209</v>
      </c>
      <c r="D1129" s="840" t="s">
        <v>3210</v>
      </c>
      <c r="E1129" s="841"/>
      <c r="F1129" s="841" t="s">
        <v>4794</v>
      </c>
      <c r="G1129" s="841" t="s">
        <v>4794</v>
      </c>
      <c r="H1129" s="841" t="s">
        <v>4794</v>
      </c>
      <c r="I1129" s="841"/>
      <c r="J1129" s="841"/>
      <c r="K1129" s="842">
        <v>1</v>
      </c>
      <c r="L1129" s="841" t="s">
        <v>4794</v>
      </c>
      <c r="M1129" s="841" t="s">
        <v>4794</v>
      </c>
      <c r="N1129" s="841" t="s">
        <v>4794</v>
      </c>
      <c r="O1129" s="841" t="s">
        <v>4794</v>
      </c>
      <c r="P1129" s="841" t="s">
        <v>4794</v>
      </c>
      <c r="Q1129" s="843">
        <f t="shared" si="15"/>
        <v>1</v>
      </c>
      <c r="R1129" s="844" t="s">
        <v>4025</v>
      </c>
      <c r="S1129" s="859"/>
      <c r="T1129" s="859"/>
      <c r="U1129" s="859"/>
      <c r="V1129" s="859"/>
      <c r="W1129" s="859"/>
      <c r="X1129" s="859"/>
      <c r="Y1129" s="859"/>
      <c r="Z1129" s="859"/>
      <c r="AA1129" s="859"/>
      <c r="AB1129" s="859"/>
      <c r="AC1129" s="859"/>
      <c r="AD1129" s="859"/>
      <c r="AE1129" s="859"/>
      <c r="AF1129" s="859"/>
    </row>
    <row r="1130" spans="1:32" ht="21.75" thickBot="1">
      <c r="A1130" s="894"/>
      <c r="B1130" s="895"/>
      <c r="C1130" s="895"/>
      <c r="D1130" s="937" t="s">
        <v>4020</v>
      </c>
      <c r="E1130" s="897"/>
      <c r="F1130" s="897"/>
      <c r="G1130" s="897"/>
      <c r="H1130" s="897"/>
      <c r="I1130" s="897"/>
      <c r="J1130" s="897"/>
      <c r="K1130" s="897"/>
      <c r="L1130" s="897"/>
      <c r="M1130" s="897"/>
      <c r="N1130" s="897"/>
      <c r="O1130" s="897"/>
      <c r="P1130" s="897"/>
      <c r="Q1130" s="938">
        <f t="shared" si="15"/>
        <v>0</v>
      </c>
      <c r="R1130" s="899"/>
      <c r="S1130" s="859"/>
      <c r="T1130" s="859"/>
      <c r="U1130" s="859"/>
      <c r="V1130" s="859"/>
      <c r="W1130" s="859"/>
      <c r="X1130" s="859"/>
      <c r="Y1130" s="859"/>
      <c r="Z1130" s="859"/>
      <c r="AA1130" s="859"/>
      <c r="AB1130" s="859"/>
      <c r="AC1130" s="859"/>
      <c r="AD1130" s="859"/>
      <c r="AE1130" s="859"/>
      <c r="AF1130" s="859"/>
    </row>
    <row r="1131" spans="1:32" ht="42">
      <c r="A1131" s="818">
        <v>1095</v>
      </c>
      <c r="B1131" s="819" t="s">
        <v>3211</v>
      </c>
      <c r="C1131" s="819" t="s">
        <v>3212</v>
      </c>
      <c r="D1131" s="820" t="s">
        <v>3213</v>
      </c>
      <c r="E1131" s="821" t="s">
        <v>4794</v>
      </c>
      <c r="F1131" s="821" t="s">
        <v>4794</v>
      </c>
      <c r="G1131" s="821"/>
      <c r="H1131" s="821"/>
      <c r="I1131" s="822">
        <v>1</v>
      </c>
      <c r="J1131" s="822">
        <v>1</v>
      </c>
      <c r="K1131" s="822">
        <v>1</v>
      </c>
      <c r="L1131" s="822">
        <v>1</v>
      </c>
      <c r="M1131" s="821"/>
      <c r="N1131" s="821" t="s">
        <v>4794</v>
      </c>
      <c r="O1131" s="821" t="s">
        <v>4794</v>
      </c>
      <c r="P1131" s="821"/>
      <c r="Q1131" s="823">
        <f t="shared" si="15"/>
        <v>4</v>
      </c>
      <c r="R1131" s="824" t="s">
        <v>4025</v>
      </c>
      <c r="S1131" s="859"/>
      <c r="T1131" s="859"/>
      <c r="U1131" s="859"/>
      <c r="V1131" s="859"/>
      <c r="W1131" s="859"/>
      <c r="X1131" s="859"/>
      <c r="Y1131" s="859"/>
      <c r="Z1131" s="859"/>
      <c r="AA1131" s="859"/>
      <c r="AB1131" s="859"/>
      <c r="AC1131" s="859"/>
      <c r="AD1131" s="859"/>
      <c r="AE1131" s="859"/>
      <c r="AF1131" s="859"/>
    </row>
    <row r="1132" spans="1:32" ht="31.5">
      <c r="A1132" s="939">
        <v>1096</v>
      </c>
      <c r="B1132" s="828" t="s">
        <v>3211</v>
      </c>
      <c r="C1132" s="940" t="s">
        <v>3214</v>
      </c>
      <c r="D1132" s="941" t="s">
        <v>3215</v>
      </c>
      <c r="E1132" s="868"/>
      <c r="F1132" s="868"/>
      <c r="G1132" s="868"/>
      <c r="H1132" s="868"/>
      <c r="I1132" s="869">
        <v>1</v>
      </c>
      <c r="J1132" s="868"/>
      <c r="K1132" s="868"/>
      <c r="L1132" s="868"/>
      <c r="M1132" s="868"/>
      <c r="N1132" s="868"/>
      <c r="O1132" s="868"/>
      <c r="P1132" s="868"/>
      <c r="Q1132" s="832">
        <f>SUM(E1132:P1132)</f>
        <v>1</v>
      </c>
      <c r="R1132" s="833" t="s">
        <v>4025</v>
      </c>
      <c r="S1132" s="859"/>
      <c r="T1132" s="859"/>
      <c r="U1132" s="859"/>
      <c r="V1132" s="859"/>
      <c r="W1132" s="859"/>
      <c r="X1132" s="859"/>
      <c r="Y1132" s="859"/>
      <c r="Z1132" s="859"/>
      <c r="AA1132" s="859"/>
      <c r="AB1132" s="859"/>
      <c r="AC1132" s="859"/>
      <c r="AD1132" s="859"/>
      <c r="AE1132" s="859"/>
      <c r="AF1132" s="859"/>
    </row>
    <row r="1133" spans="1:32" ht="63">
      <c r="A1133" s="939">
        <v>1097</v>
      </c>
      <c r="B1133" s="828" t="s">
        <v>3211</v>
      </c>
      <c r="C1133" s="873">
        <v>3601545</v>
      </c>
      <c r="D1133" s="829" t="s">
        <v>3216</v>
      </c>
      <c r="E1133" s="868"/>
      <c r="F1133" s="868"/>
      <c r="G1133" s="868"/>
      <c r="H1133" s="869">
        <v>10</v>
      </c>
      <c r="I1133" s="868"/>
      <c r="J1133" s="869">
        <v>10</v>
      </c>
      <c r="K1133" s="868"/>
      <c r="L1133" s="868"/>
      <c r="M1133" s="868"/>
      <c r="N1133" s="868"/>
      <c r="O1133" s="868"/>
      <c r="P1133" s="868"/>
      <c r="Q1133" s="832">
        <f t="shared" si="15"/>
        <v>20</v>
      </c>
      <c r="R1133" s="833" t="s">
        <v>4025</v>
      </c>
      <c r="S1133" s="859"/>
      <c r="T1133" s="859"/>
      <c r="U1133" s="859"/>
      <c r="V1133" s="859"/>
      <c r="W1133" s="859"/>
      <c r="X1133" s="859"/>
      <c r="Y1133" s="859"/>
      <c r="Z1133" s="859"/>
      <c r="AA1133" s="859"/>
      <c r="AB1133" s="859"/>
      <c r="AC1133" s="859"/>
      <c r="AD1133" s="859"/>
      <c r="AE1133" s="859"/>
      <c r="AF1133" s="859"/>
    </row>
    <row r="1134" spans="1:32" ht="53.25">
      <c r="A1134" s="939">
        <v>1098</v>
      </c>
      <c r="B1134" s="828" t="s">
        <v>3211</v>
      </c>
      <c r="C1134" s="873">
        <v>9106171</v>
      </c>
      <c r="D1134" s="942" t="s">
        <v>3217</v>
      </c>
      <c r="E1134" s="868"/>
      <c r="F1134" s="868"/>
      <c r="G1134" s="868"/>
      <c r="H1134" s="869">
        <v>1</v>
      </c>
      <c r="I1134" s="868"/>
      <c r="J1134" s="868"/>
      <c r="K1134" s="868"/>
      <c r="L1134" s="868"/>
      <c r="M1134" s="868"/>
      <c r="N1134" s="868"/>
      <c r="O1134" s="868"/>
      <c r="P1134" s="868"/>
      <c r="Q1134" s="832">
        <f t="shared" si="15"/>
        <v>1</v>
      </c>
      <c r="R1134" s="833" t="s">
        <v>4025</v>
      </c>
      <c r="S1134" s="859"/>
      <c r="T1134" s="859"/>
      <c r="U1134" s="859"/>
      <c r="V1134" s="859"/>
      <c r="W1134" s="859"/>
      <c r="X1134" s="859"/>
      <c r="Y1134" s="859"/>
      <c r="Z1134" s="859"/>
      <c r="AA1134" s="859"/>
      <c r="AB1134" s="859"/>
      <c r="AC1134" s="859"/>
      <c r="AD1134" s="859"/>
      <c r="AE1134" s="859"/>
      <c r="AF1134" s="859"/>
    </row>
    <row r="1135" spans="1:32" ht="43.5" thickBot="1">
      <c r="A1135" s="838">
        <v>1099</v>
      </c>
      <c r="B1135" s="839" t="s">
        <v>3211</v>
      </c>
      <c r="C1135" s="839">
        <v>9106170</v>
      </c>
      <c r="D1135" s="943" t="s">
        <v>3218</v>
      </c>
      <c r="E1135" s="841"/>
      <c r="F1135" s="841"/>
      <c r="G1135" s="841"/>
      <c r="H1135" s="842">
        <v>1</v>
      </c>
      <c r="I1135" s="841"/>
      <c r="J1135" s="841"/>
      <c r="K1135" s="841"/>
      <c r="L1135" s="841"/>
      <c r="M1135" s="841"/>
      <c r="N1135" s="841"/>
      <c r="O1135" s="841"/>
      <c r="P1135" s="841"/>
      <c r="Q1135" s="843">
        <f t="shared" si="15"/>
        <v>1</v>
      </c>
      <c r="R1135" s="844" t="s">
        <v>4025</v>
      </c>
      <c r="S1135" s="859"/>
      <c r="T1135" s="859"/>
      <c r="U1135" s="859"/>
      <c r="V1135" s="859"/>
      <c r="W1135" s="859"/>
      <c r="X1135" s="859"/>
      <c r="Y1135" s="859"/>
      <c r="Z1135" s="859"/>
      <c r="AA1135" s="859"/>
      <c r="AB1135" s="859"/>
      <c r="AC1135" s="859"/>
      <c r="AD1135" s="859"/>
      <c r="AE1135" s="859"/>
      <c r="AF1135" s="859"/>
    </row>
    <row r="1136" spans="1:32" ht="21.75" thickBot="1">
      <c r="A1136" s="944"/>
      <c r="B1136" s="901"/>
      <c r="C1136" s="901"/>
      <c r="D1136" s="847" t="s">
        <v>4020</v>
      </c>
      <c r="E1136" s="902"/>
      <c r="F1136" s="902"/>
      <c r="G1136" s="902"/>
      <c r="H1136" s="902"/>
      <c r="I1136" s="902"/>
      <c r="J1136" s="902"/>
      <c r="K1136" s="902"/>
      <c r="L1136" s="902"/>
      <c r="M1136" s="902"/>
      <c r="N1136" s="902"/>
      <c r="O1136" s="902"/>
      <c r="P1136" s="902"/>
      <c r="Q1136" s="849">
        <f t="shared" si="15"/>
        <v>0</v>
      </c>
      <c r="R1136" s="903"/>
      <c r="S1136" s="859"/>
      <c r="T1136" s="859"/>
      <c r="U1136" s="859"/>
      <c r="V1136" s="859"/>
      <c r="W1136" s="859"/>
      <c r="X1136" s="859"/>
      <c r="Y1136" s="859"/>
      <c r="Z1136" s="859"/>
      <c r="AA1136" s="859"/>
      <c r="AB1136" s="859"/>
      <c r="AC1136" s="859"/>
      <c r="AD1136" s="859"/>
      <c r="AE1136" s="859"/>
      <c r="AF1136" s="859"/>
    </row>
    <row r="1137" spans="1:32" ht="21">
      <c r="A1137" s="818">
        <v>1100</v>
      </c>
      <c r="B1137" s="819" t="s">
        <v>3219</v>
      </c>
      <c r="C1137" s="819" t="s">
        <v>3220</v>
      </c>
      <c r="D1137" s="820" t="s">
        <v>3221</v>
      </c>
      <c r="E1137" s="821" t="s">
        <v>4794</v>
      </c>
      <c r="F1137" s="821" t="s">
        <v>4794</v>
      </c>
      <c r="G1137" s="822">
        <v>1</v>
      </c>
      <c r="H1137" s="822">
        <v>1</v>
      </c>
      <c r="I1137" s="822">
        <v>1</v>
      </c>
      <c r="J1137" s="821" t="s">
        <v>4794</v>
      </c>
      <c r="K1137" s="822">
        <v>2</v>
      </c>
      <c r="L1137" s="822">
        <v>1</v>
      </c>
      <c r="M1137" s="821" t="s">
        <v>4794</v>
      </c>
      <c r="N1137" s="821" t="s">
        <v>4794</v>
      </c>
      <c r="O1137" s="821" t="s">
        <v>4794</v>
      </c>
      <c r="P1137" s="821" t="s">
        <v>4794</v>
      </c>
      <c r="Q1137" s="823">
        <f t="shared" si="15"/>
        <v>6</v>
      </c>
      <c r="R1137" s="824" t="s">
        <v>4025</v>
      </c>
      <c r="S1137" s="859"/>
      <c r="T1137" s="859"/>
      <c r="U1137" s="859"/>
      <c r="V1137" s="859"/>
      <c r="W1137" s="859"/>
      <c r="X1137" s="859"/>
      <c r="Y1137" s="859"/>
      <c r="Z1137" s="859"/>
      <c r="AA1137" s="859"/>
      <c r="AB1137" s="859"/>
      <c r="AC1137" s="859"/>
      <c r="AD1137" s="859"/>
      <c r="AE1137" s="859"/>
      <c r="AF1137" s="859"/>
    </row>
    <row r="1138" spans="1:32" ht="32.25" thickBot="1">
      <c r="A1138" s="838">
        <v>1101</v>
      </c>
      <c r="B1138" s="839" t="s">
        <v>3219</v>
      </c>
      <c r="C1138" s="839" t="s">
        <v>3222</v>
      </c>
      <c r="D1138" s="840" t="s">
        <v>3223</v>
      </c>
      <c r="E1138" s="841" t="s">
        <v>4794</v>
      </c>
      <c r="F1138" s="841" t="s">
        <v>4794</v>
      </c>
      <c r="G1138" s="841" t="s">
        <v>4794</v>
      </c>
      <c r="H1138" s="841" t="s">
        <v>4794</v>
      </c>
      <c r="I1138" s="841"/>
      <c r="J1138" s="841" t="s">
        <v>4794</v>
      </c>
      <c r="K1138" s="841" t="s">
        <v>4794</v>
      </c>
      <c r="L1138" s="842">
        <v>1</v>
      </c>
      <c r="M1138" s="841" t="s">
        <v>4794</v>
      </c>
      <c r="N1138" s="841" t="s">
        <v>4794</v>
      </c>
      <c r="O1138" s="841" t="s">
        <v>4794</v>
      </c>
      <c r="P1138" s="841" t="s">
        <v>4794</v>
      </c>
      <c r="Q1138" s="843">
        <f t="shared" si="15"/>
        <v>1</v>
      </c>
      <c r="R1138" s="844" t="s">
        <v>4025</v>
      </c>
      <c r="S1138" s="859"/>
      <c r="T1138" s="859"/>
      <c r="U1138" s="859"/>
      <c r="V1138" s="859"/>
      <c r="W1138" s="859"/>
      <c r="X1138" s="859"/>
      <c r="Y1138" s="859"/>
      <c r="Z1138" s="859"/>
      <c r="AA1138" s="859"/>
      <c r="AB1138" s="859"/>
      <c r="AC1138" s="859"/>
      <c r="AD1138" s="859"/>
      <c r="AE1138" s="859"/>
      <c r="AF1138" s="859"/>
    </row>
    <row r="1139" spans="1:32" ht="21.75" thickBot="1">
      <c r="A1139" s="944"/>
      <c r="B1139" s="901"/>
      <c r="C1139" s="901"/>
      <c r="D1139" s="847" t="s">
        <v>4020</v>
      </c>
      <c r="E1139" s="902"/>
      <c r="F1139" s="902"/>
      <c r="G1139" s="902"/>
      <c r="H1139" s="902"/>
      <c r="I1139" s="902"/>
      <c r="J1139" s="902"/>
      <c r="K1139" s="902"/>
      <c r="L1139" s="902"/>
      <c r="M1139" s="902"/>
      <c r="N1139" s="902"/>
      <c r="O1139" s="902"/>
      <c r="P1139" s="902"/>
      <c r="Q1139" s="849">
        <f t="shared" si="15"/>
        <v>0</v>
      </c>
      <c r="R1139" s="903"/>
      <c r="S1139" s="859"/>
      <c r="T1139" s="859"/>
      <c r="U1139" s="859"/>
      <c r="V1139" s="859"/>
      <c r="W1139" s="859"/>
      <c r="X1139" s="859"/>
      <c r="Y1139" s="859"/>
      <c r="Z1139" s="859"/>
      <c r="AA1139" s="859"/>
      <c r="AB1139" s="859"/>
      <c r="AC1139" s="859"/>
      <c r="AD1139" s="859"/>
      <c r="AE1139" s="859"/>
      <c r="AF1139" s="859"/>
    </row>
    <row r="1140" spans="1:32" ht="21">
      <c r="A1140" s="894">
        <v>1102</v>
      </c>
      <c r="B1140" s="895" t="s">
        <v>3224</v>
      </c>
      <c r="C1140" s="895" t="s">
        <v>3225</v>
      </c>
      <c r="D1140" s="945" t="s">
        <v>3226</v>
      </c>
      <c r="E1140" s="946" t="s">
        <v>4794</v>
      </c>
      <c r="F1140" s="897" t="s">
        <v>4794</v>
      </c>
      <c r="G1140" s="897" t="s">
        <v>4794</v>
      </c>
      <c r="H1140" s="897" t="s">
        <v>4794</v>
      </c>
      <c r="I1140" s="897" t="s">
        <v>4794</v>
      </c>
      <c r="J1140" s="898">
        <v>1</v>
      </c>
      <c r="K1140" s="897" t="s">
        <v>4794</v>
      </c>
      <c r="L1140" s="897" t="s">
        <v>4794</v>
      </c>
      <c r="M1140" s="897" t="s">
        <v>4794</v>
      </c>
      <c r="N1140" s="897" t="s">
        <v>4794</v>
      </c>
      <c r="O1140" s="897" t="s">
        <v>4794</v>
      </c>
      <c r="P1140" s="897" t="s">
        <v>4794</v>
      </c>
      <c r="Q1140" s="938">
        <f t="shared" si="15"/>
        <v>1</v>
      </c>
      <c r="R1140" s="899" t="s">
        <v>4025</v>
      </c>
      <c r="S1140" s="859"/>
      <c r="T1140" s="859"/>
      <c r="U1140" s="859"/>
      <c r="V1140" s="859"/>
      <c r="W1140" s="859"/>
      <c r="X1140" s="859"/>
      <c r="Y1140" s="859"/>
      <c r="Z1140" s="859"/>
      <c r="AA1140" s="859"/>
      <c r="AB1140" s="859"/>
      <c r="AC1140" s="859"/>
      <c r="AD1140" s="859"/>
      <c r="AE1140" s="859"/>
      <c r="AF1140" s="859"/>
    </row>
    <row r="1141" spans="1:32" ht="21">
      <c r="A1141" s="827">
        <v>1103</v>
      </c>
      <c r="B1141" s="828" t="s">
        <v>3224</v>
      </c>
      <c r="C1141" s="828">
        <v>9104437</v>
      </c>
      <c r="D1141" s="947" t="s">
        <v>3227</v>
      </c>
      <c r="E1141" s="934" t="s">
        <v>4794</v>
      </c>
      <c r="F1141" s="935" t="s">
        <v>4794</v>
      </c>
      <c r="G1141" s="935"/>
      <c r="H1141" s="936">
        <v>3</v>
      </c>
      <c r="I1141" s="935"/>
      <c r="J1141" s="935"/>
      <c r="K1141" s="935"/>
      <c r="L1141" s="935"/>
      <c r="M1141" s="935"/>
      <c r="N1141" s="935" t="s">
        <v>4794</v>
      </c>
      <c r="O1141" s="935" t="s">
        <v>4794</v>
      </c>
      <c r="P1141" s="935" t="s">
        <v>4794</v>
      </c>
      <c r="Q1141" s="875">
        <f t="shared" si="15"/>
        <v>3</v>
      </c>
      <c r="R1141" s="833" t="s">
        <v>4025</v>
      </c>
      <c r="S1141" s="859"/>
      <c r="T1141" s="859"/>
      <c r="U1141" s="859"/>
      <c r="V1141" s="859"/>
      <c r="W1141" s="859"/>
      <c r="X1141" s="859"/>
      <c r="Y1141" s="859"/>
      <c r="Z1141" s="859"/>
      <c r="AA1141" s="859"/>
      <c r="AB1141" s="859"/>
      <c r="AC1141" s="859"/>
      <c r="AD1141" s="859"/>
      <c r="AE1141" s="859"/>
      <c r="AF1141" s="859"/>
    </row>
    <row r="1142" spans="1:32" ht="21">
      <c r="A1142" s="827">
        <v>1104</v>
      </c>
      <c r="B1142" s="828" t="s">
        <v>3224</v>
      </c>
      <c r="C1142" s="828">
        <v>9003906</v>
      </c>
      <c r="D1142" s="947" t="s">
        <v>3228</v>
      </c>
      <c r="E1142" s="934"/>
      <c r="F1142" s="935"/>
      <c r="G1142" s="935"/>
      <c r="H1142" s="935"/>
      <c r="I1142" s="936">
        <v>3</v>
      </c>
      <c r="J1142" s="935"/>
      <c r="K1142" s="935"/>
      <c r="L1142" s="935"/>
      <c r="M1142" s="935"/>
      <c r="N1142" s="935"/>
      <c r="O1142" s="935"/>
      <c r="P1142" s="935"/>
      <c r="Q1142" s="875">
        <f t="shared" si="15"/>
        <v>3</v>
      </c>
      <c r="R1142" s="833" t="s">
        <v>4025</v>
      </c>
      <c r="S1142" s="859"/>
      <c r="T1142" s="859"/>
      <c r="U1142" s="859"/>
      <c r="V1142" s="859"/>
      <c r="W1142" s="859"/>
      <c r="X1142" s="859"/>
      <c r="Y1142" s="859"/>
      <c r="Z1142" s="859"/>
      <c r="AA1142" s="859"/>
      <c r="AB1142" s="859"/>
      <c r="AC1142" s="859"/>
      <c r="AD1142" s="859"/>
      <c r="AE1142" s="859"/>
      <c r="AF1142" s="859"/>
    </row>
    <row r="1143" spans="1:32" ht="21">
      <c r="A1143" s="827">
        <v>1105</v>
      </c>
      <c r="B1143" s="828" t="s">
        <v>3224</v>
      </c>
      <c r="C1143" s="828">
        <v>3704712</v>
      </c>
      <c r="D1143" s="947" t="s">
        <v>3229</v>
      </c>
      <c r="E1143" s="934"/>
      <c r="F1143" s="935"/>
      <c r="G1143" s="935"/>
      <c r="H1143" s="935"/>
      <c r="I1143" s="936">
        <v>1</v>
      </c>
      <c r="J1143" s="935"/>
      <c r="K1143" s="935"/>
      <c r="L1143" s="935"/>
      <c r="M1143" s="935"/>
      <c r="N1143" s="935"/>
      <c r="O1143" s="935"/>
      <c r="P1143" s="935"/>
      <c r="Q1143" s="875">
        <f t="shared" si="15"/>
        <v>1</v>
      </c>
      <c r="R1143" s="833" t="s">
        <v>3230</v>
      </c>
      <c r="S1143" s="859"/>
      <c r="T1143" s="859"/>
      <c r="U1143" s="859"/>
      <c r="V1143" s="859"/>
      <c r="W1143" s="859"/>
      <c r="X1143" s="859"/>
      <c r="Y1143" s="859"/>
      <c r="Z1143" s="859"/>
      <c r="AA1143" s="859"/>
      <c r="AB1143" s="859"/>
      <c r="AC1143" s="859"/>
      <c r="AD1143" s="859"/>
      <c r="AE1143" s="859"/>
      <c r="AF1143" s="859"/>
    </row>
    <row r="1144" spans="1:32" ht="53.25">
      <c r="A1144" s="827">
        <v>1106</v>
      </c>
      <c r="B1144" s="828" t="s">
        <v>3224</v>
      </c>
      <c r="C1144" s="914">
        <v>9105841</v>
      </c>
      <c r="D1144" s="863" t="s">
        <v>3231</v>
      </c>
      <c r="E1144" s="934"/>
      <c r="F1144" s="935"/>
      <c r="G1144" s="935"/>
      <c r="H1144" s="935"/>
      <c r="I1144" s="936">
        <v>1</v>
      </c>
      <c r="J1144" s="935"/>
      <c r="K1144" s="935"/>
      <c r="L1144" s="935"/>
      <c r="M1144" s="935"/>
      <c r="N1144" s="935"/>
      <c r="O1144" s="935"/>
      <c r="P1144" s="935"/>
      <c r="Q1144" s="875">
        <f>SUM(E1144:P1144)</f>
        <v>1</v>
      </c>
      <c r="R1144" s="833" t="s">
        <v>4025</v>
      </c>
      <c r="S1144" s="859"/>
      <c r="T1144" s="859"/>
      <c r="U1144" s="859"/>
      <c r="V1144" s="859"/>
      <c r="W1144" s="859"/>
      <c r="X1144" s="859"/>
      <c r="Y1144" s="859"/>
      <c r="Z1144" s="859"/>
      <c r="AA1144" s="859"/>
      <c r="AB1144" s="859"/>
      <c r="AC1144" s="859"/>
      <c r="AD1144" s="859"/>
      <c r="AE1144" s="859"/>
      <c r="AF1144" s="859"/>
    </row>
    <row r="1145" spans="1:32" ht="21">
      <c r="A1145" s="827">
        <v>1107</v>
      </c>
      <c r="B1145" s="828" t="s">
        <v>3224</v>
      </c>
      <c r="C1145" s="873">
        <v>3904107</v>
      </c>
      <c r="D1145" s="933" t="s">
        <v>3232</v>
      </c>
      <c r="E1145" s="934"/>
      <c r="F1145" s="935"/>
      <c r="G1145" s="935"/>
      <c r="H1145" s="935"/>
      <c r="I1145" s="936">
        <v>3</v>
      </c>
      <c r="J1145" s="935"/>
      <c r="K1145" s="935"/>
      <c r="L1145" s="935"/>
      <c r="M1145" s="935"/>
      <c r="N1145" s="935"/>
      <c r="O1145" s="935"/>
      <c r="P1145" s="935"/>
      <c r="Q1145" s="875">
        <f>SUM(E1145:P1145)</f>
        <v>3</v>
      </c>
      <c r="R1145" s="833" t="s">
        <v>4025</v>
      </c>
      <c r="S1145" s="859"/>
      <c r="T1145" s="859"/>
      <c r="U1145" s="859"/>
      <c r="V1145" s="859"/>
      <c r="W1145" s="859"/>
      <c r="X1145" s="859"/>
      <c r="Y1145" s="859"/>
      <c r="Z1145" s="859"/>
      <c r="AA1145" s="859"/>
      <c r="AB1145" s="859"/>
      <c r="AC1145" s="859"/>
      <c r="AD1145" s="859"/>
      <c r="AE1145" s="859"/>
      <c r="AF1145" s="859"/>
    </row>
    <row r="1146" spans="1:32" ht="53.25" thickBot="1">
      <c r="A1146" s="838">
        <v>1108</v>
      </c>
      <c r="B1146" s="839" t="s">
        <v>3224</v>
      </c>
      <c r="C1146" s="948">
        <v>9104560</v>
      </c>
      <c r="D1146" s="949" t="s">
        <v>3233</v>
      </c>
      <c r="E1146" s="950"/>
      <c r="F1146" s="951"/>
      <c r="G1146" s="951"/>
      <c r="H1146" s="952">
        <v>1</v>
      </c>
      <c r="I1146" s="951"/>
      <c r="J1146" s="951"/>
      <c r="K1146" s="951"/>
      <c r="L1146" s="951"/>
      <c r="M1146" s="951"/>
      <c r="N1146" s="951"/>
      <c r="O1146" s="951"/>
      <c r="P1146" s="951"/>
      <c r="Q1146" s="843">
        <f t="shared" si="15"/>
        <v>1</v>
      </c>
      <c r="R1146" s="844" t="s">
        <v>4025</v>
      </c>
      <c r="S1146" s="859"/>
      <c r="T1146" s="859"/>
      <c r="U1146" s="859"/>
      <c r="V1146" s="859"/>
      <c r="W1146" s="859"/>
      <c r="X1146" s="859"/>
      <c r="Y1146" s="859"/>
      <c r="Z1146" s="859"/>
      <c r="AA1146" s="859"/>
      <c r="AB1146" s="859"/>
      <c r="AC1146" s="859"/>
      <c r="AD1146" s="859"/>
      <c r="AE1146" s="859"/>
      <c r="AF1146" s="859"/>
    </row>
    <row r="1147" spans="1:32" ht="21.75" thickBot="1">
      <c r="A1147" s="915"/>
      <c r="B1147" s="916"/>
      <c r="C1147" s="916"/>
      <c r="D1147" s="953" t="s">
        <v>4020</v>
      </c>
      <c r="E1147" s="918"/>
      <c r="F1147" s="918"/>
      <c r="G1147" s="918"/>
      <c r="H1147" s="918"/>
      <c r="I1147" s="918"/>
      <c r="J1147" s="918"/>
      <c r="K1147" s="918"/>
      <c r="L1147" s="918"/>
      <c r="M1147" s="918"/>
      <c r="N1147" s="918"/>
      <c r="O1147" s="918"/>
      <c r="P1147" s="918"/>
      <c r="Q1147" s="890">
        <f t="shared" si="15"/>
        <v>0</v>
      </c>
      <c r="R1147" s="900"/>
      <c r="S1147" s="859"/>
      <c r="T1147" s="859"/>
      <c r="U1147" s="859"/>
      <c r="V1147" s="859"/>
      <c r="W1147" s="859"/>
      <c r="X1147" s="859"/>
      <c r="Y1147" s="859"/>
      <c r="Z1147" s="859"/>
      <c r="AA1147" s="859"/>
      <c r="AB1147" s="859"/>
      <c r="AC1147" s="859"/>
      <c r="AD1147" s="859"/>
      <c r="AE1147" s="859"/>
      <c r="AF1147" s="859"/>
    </row>
    <row r="1148" spans="1:32" ht="15.75" thickBot="1">
      <c r="A1148" s="915">
        <v>1109</v>
      </c>
      <c r="B1148" s="916" t="s">
        <v>3234</v>
      </c>
      <c r="C1148" s="916" t="s">
        <v>3235</v>
      </c>
      <c r="D1148" s="917" t="s">
        <v>3236</v>
      </c>
      <c r="E1148" s="918"/>
      <c r="F1148" s="918"/>
      <c r="G1148" s="918"/>
      <c r="H1148" s="918"/>
      <c r="I1148" s="918"/>
      <c r="J1148" s="918"/>
      <c r="K1148" s="918"/>
      <c r="L1148" s="918"/>
      <c r="M1148" s="918"/>
      <c r="N1148" s="918"/>
      <c r="O1148" s="918"/>
      <c r="P1148" s="918"/>
      <c r="Q1148" s="843">
        <f t="shared" si="15"/>
        <v>0</v>
      </c>
      <c r="R1148" s="900" t="s">
        <v>2257</v>
      </c>
      <c r="S1148" s="859"/>
      <c r="T1148" s="859"/>
      <c r="U1148" s="859"/>
      <c r="V1148" s="859"/>
      <c r="W1148" s="859"/>
      <c r="X1148" s="859"/>
      <c r="Y1148" s="859"/>
      <c r="Z1148" s="859"/>
      <c r="AA1148" s="859"/>
      <c r="AB1148" s="859"/>
      <c r="AC1148" s="859"/>
      <c r="AD1148" s="859"/>
      <c r="AE1148" s="859"/>
      <c r="AF1148" s="859"/>
    </row>
    <row r="1149" spans="1:32" ht="21.75" thickBot="1">
      <c r="A1149" s="954"/>
      <c r="B1149" s="955"/>
      <c r="C1149" s="955"/>
      <c r="D1149" s="881" t="s">
        <v>4020</v>
      </c>
      <c r="E1149" s="956"/>
      <c r="F1149" s="956"/>
      <c r="G1149" s="956"/>
      <c r="H1149" s="956"/>
      <c r="I1149" s="956"/>
      <c r="J1149" s="956"/>
      <c r="K1149" s="956"/>
      <c r="L1149" s="956"/>
      <c r="M1149" s="956"/>
      <c r="N1149" s="956"/>
      <c r="O1149" s="956"/>
      <c r="P1149" s="956"/>
      <c r="Q1149" s="956"/>
      <c r="R1149" s="954"/>
      <c r="S1149" s="859"/>
      <c r="T1149" s="859"/>
      <c r="U1149" s="859"/>
      <c r="V1149" s="859"/>
      <c r="W1149" s="859"/>
      <c r="X1149" s="859"/>
      <c r="Y1149" s="859"/>
      <c r="Z1149" s="859"/>
      <c r="AA1149" s="859"/>
      <c r="AB1149" s="859"/>
      <c r="AC1149" s="859"/>
      <c r="AD1149" s="859"/>
      <c r="AE1149" s="859"/>
      <c r="AF1149" s="859"/>
    </row>
    <row r="1150" spans="1:32">
      <c r="Q1150" s="859"/>
      <c r="R1150" s="859"/>
      <c r="S1150" s="859"/>
      <c r="T1150" s="859"/>
      <c r="U1150" s="859"/>
      <c r="V1150" s="859"/>
      <c r="W1150" s="859"/>
      <c r="X1150" s="859"/>
      <c r="Y1150" s="859"/>
      <c r="Z1150" s="859"/>
      <c r="AA1150" s="859"/>
      <c r="AB1150" s="859"/>
      <c r="AC1150" s="859"/>
      <c r="AD1150" s="859"/>
      <c r="AE1150" s="859"/>
      <c r="AF1150" s="859"/>
    </row>
    <row r="1151" spans="1:32" ht="15.75" thickBot="1">
      <c r="Q1151" s="859"/>
      <c r="R1151" s="859"/>
      <c r="S1151" s="859"/>
      <c r="T1151" s="859"/>
      <c r="U1151" s="859"/>
      <c r="V1151" s="859"/>
      <c r="W1151" s="859"/>
      <c r="X1151" s="859"/>
      <c r="Y1151" s="859"/>
      <c r="Z1151" s="859"/>
      <c r="AA1151" s="859"/>
      <c r="AB1151" s="859"/>
      <c r="AC1151" s="859"/>
      <c r="AD1151" s="859"/>
      <c r="AE1151" s="859"/>
      <c r="AF1151" s="859"/>
    </row>
    <row r="1152" spans="1:32" ht="23.25">
      <c r="A1152" s="957" t="s">
        <v>3106</v>
      </c>
      <c r="B1152" s="958" t="s">
        <v>2036</v>
      </c>
      <c r="C1152" s="959" t="s">
        <v>3706</v>
      </c>
      <c r="D1152" s="960" t="s">
        <v>3237</v>
      </c>
      <c r="E1152" s="960" t="s">
        <v>3238</v>
      </c>
      <c r="F1152" s="961" t="s">
        <v>1471</v>
      </c>
      <c r="G1152" s="961"/>
      <c r="H1152" s="961" t="s">
        <v>1472</v>
      </c>
      <c r="I1152" s="961"/>
      <c r="J1152" s="961" t="s">
        <v>1473</v>
      </c>
      <c r="K1152" s="961"/>
      <c r="L1152" s="961" t="s">
        <v>1474</v>
      </c>
      <c r="M1152" s="961"/>
      <c r="N1152" s="961" t="s">
        <v>1475</v>
      </c>
      <c r="O1152" s="961"/>
      <c r="P1152" s="961" t="s">
        <v>1476</v>
      </c>
      <c r="Q1152" s="961"/>
      <c r="R1152" s="961" t="s">
        <v>1477</v>
      </c>
      <c r="S1152" s="961"/>
      <c r="T1152" s="961" t="s">
        <v>1478</v>
      </c>
      <c r="U1152" s="961"/>
      <c r="V1152" s="961" t="s">
        <v>1479</v>
      </c>
      <c r="W1152" s="961"/>
      <c r="X1152" s="961" t="s">
        <v>1480</v>
      </c>
      <c r="Y1152" s="961"/>
      <c r="Z1152" s="961" t="s">
        <v>1481</v>
      </c>
      <c r="AA1152" s="961"/>
      <c r="AB1152" s="962" t="s">
        <v>4522</v>
      </c>
      <c r="AC1152" s="859"/>
      <c r="AD1152" s="859"/>
      <c r="AE1152" s="859"/>
      <c r="AF1152" s="859"/>
    </row>
    <row r="1153" spans="1:32" ht="18">
      <c r="A1153" s="963"/>
      <c r="B1153" s="964" t="s">
        <v>3239</v>
      </c>
      <c r="C1153" s="965"/>
      <c r="D1153" s="966"/>
      <c r="E1153" s="966"/>
      <c r="F1153" s="967"/>
      <c r="G1153" s="967"/>
      <c r="H1153" s="967"/>
      <c r="I1153" s="967"/>
      <c r="J1153" s="967"/>
      <c r="K1153" s="967"/>
      <c r="L1153" s="967"/>
      <c r="M1153" s="967"/>
      <c r="N1153" s="967"/>
      <c r="O1153" s="967"/>
      <c r="P1153" s="967"/>
      <c r="Q1153" s="967"/>
      <c r="R1153" s="967"/>
      <c r="S1153" s="967"/>
      <c r="T1153" s="967"/>
      <c r="U1153" s="967"/>
      <c r="V1153" s="967"/>
      <c r="W1153" s="967"/>
      <c r="X1153" s="967"/>
      <c r="Y1153" s="967"/>
      <c r="Z1153" s="967"/>
      <c r="AA1153" s="967"/>
      <c r="AB1153" s="968"/>
      <c r="AC1153" s="859"/>
      <c r="AD1153" s="859"/>
      <c r="AE1153" s="859"/>
      <c r="AF1153" s="859"/>
    </row>
    <row r="1154" spans="1:32" ht="31.5">
      <c r="A1154" s="969">
        <v>1</v>
      </c>
      <c r="B1154" s="970" t="s">
        <v>3240</v>
      </c>
      <c r="C1154" s="971">
        <v>810</v>
      </c>
      <c r="D1154" s="972">
        <f>E1154/1.18</f>
        <v>2118644.0677966103</v>
      </c>
      <c r="E1154" s="972">
        <v>2500000</v>
      </c>
      <c r="F1154" s="973"/>
      <c r="G1154" s="973"/>
      <c r="H1154" s="973"/>
      <c r="I1154" s="973"/>
      <c r="J1154" s="973"/>
      <c r="K1154" s="973"/>
      <c r="L1154" s="973"/>
      <c r="M1154" s="973"/>
      <c r="N1154" s="973"/>
      <c r="O1154" s="973"/>
      <c r="P1154" s="973"/>
      <c r="Q1154" s="973"/>
      <c r="R1154" s="973"/>
      <c r="S1154" s="973"/>
      <c r="T1154" s="973">
        <v>1250000</v>
      </c>
      <c r="U1154" s="973"/>
      <c r="V1154" s="973">
        <v>1250000</v>
      </c>
      <c r="W1154" s="973"/>
      <c r="X1154" s="973"/>
      <c r="Y1154" s="973"/>
      <c r="Z1154" s="973"/>
      <c r="AA1154" s="973"/>
      <c r="AB1154" s="974"/>
      <c r="AC1154" s="859"/>
      <c r="AD1154" s="859"/>
      <c r="AE1154" s="859"/>
      <c r="AF1154" s="859"/>
    </row>
    <row r="1155" spans="1:32" ht="52.5">
      <c r="A1155" s="969">
        <v>4</v>
      </c>
      <c r="B1155" s="970" t="s">
        <v>3241</v>
      </c>
      <c r="C1155" s="971">
        <v>835</v>
      </c>
      <c r="D1155" s="972">
        <v>150000</v>
      </c>
      <c r="E1155" s="972">
        <f>D1155*1.18</f>
        <v>177000</v>
      </c>
      <c r="F1155" s="975"/>
      <c r="G1155" s="975"/>
      <c r="H1155" s="975"/>
      <c r="I1155" s="975"/>
      <c r="J1155" s="975"/>
      <c r="K1155" s="975"/>
      <c r="L1155" s="975">
        <f>E1155*0.3</f>
        <v>53100</v>
      </c>
      <c r="M1155" s="975"/>
      <c r="N1155" s="975"/>
      <c r="O1155" s="975"/>
      <c r="P1155" s="975">
        <f>E1155*0.7</f>
        <v>123899.99999999999</v>
      </c>
      <c r="Q1155" s="975"/>
      <c r="R1155" s="975"/>
      <c r="S1155" s="975"/>
      <c r="T1155" s="975"/>
      <c r="U1155" s="975"/>
      <c r="V1155" s="975"/>
      <c r="W1155" s="975"/>
      <c r="X1155" s="975"/>
      <c r="Y1155" s="975"/>
      <c r="Z1155" s="975"/>
      <c r="AA1155" s="975"/>
      <c r="AB1155" s="976"/>
      <c r="AC1155" s="859"/>
      <c r="AD1155" s="859"/>
      <c r="AE1155" s="859"/>
      <c r="AF1155" s="859"/>
    </row>
    <row r="1156" spans="1:32" ht="94.5">
      <c r="A1156" s="977">
        <v>5</v>
      </c>
      <c r="B1156" s="970" t="s">
        <v>3242</v>
      </c>
      <c r="C1156" s="978">
        <v>835</v>
      </c>
      <c r="D1156" s="972">
        <v>300000</v>
      </c>
      <c r="E1156" s="972">
        <f>D1156*1.18</f>
        <v>354000</v>
      </c>
      <c r="F1156" s="975"/>
      <c r="G1156" s="975"/>
      <c r="H1156" s="975"/>
      <c r="I1156" s="975"/>
      <c r="J1156" s="975"/>
      <c r="K1156" s="975"/>
      <c r="L1156" s="975">
        <f>E1156*0.3</f>
        <v>106200</v>
      </c>
      <c r="M1156" s="975"/>
      <c r="N1156" s="975"/>
      <c r="O1156" s="975"/>
      <c r="P1156" s="975">
        <f>E1156*0.7</f>
        <v>247799.99999999997</v>
      </c>
      <c r="Q1156" s="975"/>
      <c r="R1156" s="975"/>
      <c r="S1156" s="975"/>
      <c r="T1156" s="975"/>
      <c r="U1156" s="975"/>
      <c r="V1156" s="975"/>
      <c r="W1156" s="975"/>
      <c r="X1156" s="975"/>
      <c r="Y1156" s="975"/>
      <c r="Z1156" s="975"/>
      <c r="AA1156" s="975"/>
      <c r="AB1156" s="976"/>
      <c r="AC1156" s="859"/>
      <c r="AD1156" s="859"/>
      <c r="AE1156" s="859"/>
      <c r="AF1156" s="859"/>
    </row>
    <row r="1157" spans="1:32" ht="89.25">
      <c r="A1157" s="977">
        <v>6</v>
      </c>
      <c r="B1157" s="979" t="s">
        <v>3243</v>
      </c>
      <c r="C1157" s="978">
        <v>835</v>
      </c>
      <c r="D1157" s="972">
        <v>70000</v>
      </c>
      <c r="E1157" s="972">
        <f>D1157*1.18</f>
        <v>82600</v>
      </c>
      <c r="F1157" s="975"/>
      <c r="G1157" s="975"/>
      <c r="H1157" s="975"/>
      <c r="I1157" s="975"/>
      <c r="J1157" s="975"/>
      <c r="K1157" s="975"/>
      <c r="L1157" s="975"/>
      <c r="M1157" s="975"/>
      <c r="N1157" s="975">
        <f>E1157*0.3</f>
        <v>24780</v>
      </c>
      <c r="O1157" s="975"/>
      <c r="P1157" s="975"/>
      <c r="Q1157" s="975"/>
      <c r="R1157" s="975">
        <f>E1157*0.7</f>
        <v>57819.999999999993</v>
      </c>
      <c r="S1157" s="975"/>
      <c r="T1157" s="975"/>
      <c r="U1157" s="975"/>
      <c r="V1157" s="975"/>
      <c r="W1157" s="975"/>
      <c r="X1157" s="975"/>
      <c r="Y1157" s="975"/>
      <c r="Z1157" s="975"/>
      <c r="AA1157" s="975"/>
      <c r="AB1157" s="976"/>
      <c r="AC1157" s="859"/>
      <c r="AD1157" s="859"/>
      <c r="AE1157" s="859"/>
      <c r="AF1157" s="859"/>
    </row>
    <row r="1158" spans="1:32" ht="89.25">
      <c r="A1158" s="977">
        <v>7</v>
      </c>
      <c r="B1158" s="979" t="s">
        <v>3244</v>
      </c>
      <c r="C1158" s="978">
        <v>835</v>
      </c>
      <c r="D1158" s="972">
        <v>240000</v>
      </c>
      <c r="E1158" s="972">
        <f>D1158*1.18</f>
        <v>283200</v>
      </c>
      <c r="F1158" s="975"/>
      <c r="G1158" s="975"/>
      <c r="H1158" s="975"/>
      <c r="I1158" s="975"/>
      <c r="J1158" s="975"/>
      <c r="K1158" s="975"/>
      <c r="L1158" s="975">
        <f>E1158*0.3</f>
        <v>84960</v>
      </c>
      <c r="M1158" s="975"/>
      <c r="N1158" s="975"/>
      <c r="O1158" s="975"/>
      <c r="P1158" s="975">
        <f>E1158*0.7</f>
        <v>198240</v>
      </c>
      <c r="Q1158" s="975"/>
      <c r="R1158" s="975"/>
      <c r="S1158" s="975"/>
      <c r="T1158" s="975"/>
      <c r="U1158" s="975"/>
      <c r="V1158" s="975"/>
      <c r="W1158" s="975"/>
      <c r="X1158" s="975"/>
      <c r="Y1158" s="975"/>
      <c r="Z1158" s="975"/>
      <c r="AA1158" s="975"/>
      <c r="AB1158" s="976"/>
      <c r="AC1158" s="859"/>
      <c r="AD1158" s="859"/>
      <c r="AE1158" s="859"/>
      <c r="AF1158" s="859"/>
    </row>
    <row r="1159" spans="1:32" ht="89.25">
      <c r="A1159" s="977">
        <v>8</v>
      </c>
      <c r="B1159" s="979" t="s">
        <v>3245</v>
      </c>
      <c r="C1159" s="978">
        <v>835</v>
      </c>
      <c r="D1159" s="972">
        <v>570000</v>
      </c>
      <c r="E1159" s="972">
        <f>D1159*1.18</f>
        <v>672600</v>
      </c>
      <c r="F1159" s="975"/>
      <c r="G1159" s="975"/>
      <c r="H1159" s="975"/>
      <c r="I1159" s="975"/>
      <c r="J1159" s="975"/>
      <c r="K1159" s="975"/>
      <c r="L1159" s="975"/>
      <c r="M1159" s="975"/>
      <c r="N1159" s="975">
        <f>E1159*0.3</f>
        <v>201780</v>
      </c>
      <c r="O1159" s="975"/>
      <c r="P1159" s="975"/>
      <c r="Q1159" s="975"/>
      <c r="R1159" s="975"/>
      <c r="S1159" s="975"/>
      <c r="T1159" s="975">
        <f>E1159*0.7</f>
        <v>470819.99999999994</v>
      </c>
      <c r="U1159" s="975"/>
      <c r="V1159" s="975"/>
      <c r="W1159" s="975"/>
      <c r="X1159" s="975"/>
      <c r="Y1159" s="975"/>
      <c r="Z1159" s="975"/>
      <c r="AA1159" s="975"/>
      <c r="AB1159" s="976"/>
      <c r="AC1159" s="859"/>
      <c r="AD1159" s="859"/>
      <c r="AE1159" s="859"/>
      <c r="AF1159" s="859"/>
    </row>
    <row r="1160" spans="1:32" ht="51">
      <c r="A1160" s="977">
        <v>10</v>
      </c>
      <c r="B1160" s="980" t="s">
        <v>3246</v>
      </c>
      <c r="C1160" s="978">
        <v>810</v>
      </c>
      <c r="D1160" s="972">
        <f>E1160/1.18</f>
        <v>242501.69491525425</v>
      </c>
      <c r="E1160" s="981">
        <v>286152</v>
      </c>
      <c r="F1160" s="973"/>
      <c r="G1160" s="973"/>
      <c r="H1160" s="973"/>
      <c r="I1160" s="973"/>
      <c r="J1160" s="973"/>
      <c r="K1160" s="973"/>
      <c r="L1160" s="973"/>
      <c r="M1160" s="973"/>
      <c r="N1160" s="973">
        <f>E1160*0.5</f>
        <v>143076</v>
      </c>
      <c r="O1160" s="973"/>
      <c r="P1160" s="973">
        <f>N1160</f>
        <v>143076</v>
      </c>
      <c r="Q1160" s="973"/>
      <c r="R1160" s="973"/>
      <c r="S1160" s="973"/>
      <c r="T1160" s="973"/>
      <c r="U1160" s="973"/>
      <c r="V1160" s="973"/>
      <c r="W1160" s="973"/>
      <c r="X1160" s="973"/>
      <c r="Y1160" s="973"/>
      <c r="Z1160" s="973"/>
      <c r="AA1160" s="973"/>
      <c r="AB1160" s="974"/>
      <c r="AC1160" s="859"/>
      <c r="AD1160" s="859"/>
      <c r="AE1160" s="859"/>
      <c r="AF1160" s="859"/>
    </row>
    <row r="1161" spans="1:32" ht="63.75">
      <c r="A1161" s="969">
        <v>11</v>
      </c>
      <c r="B1161" s="982" t="s">
        <v>3574</v>
      </c>
      <c r="C1161" s="971">
        <v>810</v>
      </c>
      <c r="D1161" s="972">
        <f>E1161/1.18</f>
        <v>209476.27118644069</v>
      </c>
      <c r="E1161" s="972">
        <v>247182</v>
      </c>
      <c r="F1161" s="975"/>
      <c r="G1161" s="975"/>
      <c r="H1161" s="975"/>
      <c r="I1161" s="975"/>
      <c r="J1161" s="975"/>
      <c r="K1161" s="975"/>
      <c r="L1161" s="975"/>
      <c r="M1161" s="975"/>
      <c r="N1161" s="975"/>
      <c r="O1161" s="975"/>
      <c r="P1161" s="975">
        <f>E1161*0.5</f>
        <v>123591</v>
      </c>
      <c r="Q1161" s="975"/>
      <c r="R1161" s="975">
        <f>P1161</f>
        <v>123591</v>
      </c>
      <c r="S1161" s="975"/>
      <c r="T1161" s="975"/>
      <c r="U1161" s="975"/>
      <c r="V1161" s="975"/>
      <c r="W1161" s="975"/>
      <c r="X1161" s="975"/>
      <c r="Y1161" s="975"/>
      <c r="Z1161" s="975"/>
      <c r="AA1161" s="975"/>
      <c r="AB1161" s="976"/>
      <c r="AC1161" s="859"/>
      <c r="AD1161" s="859"/>
      <c r="AE1161" s="859"/>
      <c r="AF1161" s="859"/>
    </row>
    <row r="1162" spans="1:32" ht="38.25">
      <c r="A1162" s="969">
        <v>12</v>
      </c>
      <c r="B1162" s="982" t="s">
        <v>3575</v>
      </c>
      <c r="C1162" s="971">
        <v>810</v>
      </c>
      <c r="D1162" s="972">
        <f>E1162/1.18</f>
        <v>264587.28813559323</v>
      </c>
      <c r="E1162" s="972">
        <v>312213</v>
      </c>
      <c r="F1162" s="975"/>
      <c r="G1162" s="975"/>
      <c r="H1162" s="975"/>
      <c r="I1162" s="975"/>
      <c r="J1162" s="975"/>
      <c r="K1162" s="975"/>
      <c r="L1162" s="983"/>
      <c r="M1162" s="975"/>
      <c r="N1162" s="975">
        <f>E1162*0.5</f>
        <v>156106.5</v>
      </c>
      <c r="O1162" s="975"/>
      <c r="P1162" s="975">
        <f>N1162</f>
        <v>156106.5</v>
      </c>
      <c r="Q1162" s="975"/>
      <c r="R1162" s="975"/>
      <c r="S1162" s="975"/>
      <c r="T1162" s="975"/>
      <c r="U1162" s="975"/>
      <c r="V1162" s="975"/>
      <c r="W1162" s="975"/>
      <c r="X1162" s="975"/>
      <c r="Y1162" s="975"/>
      <c r="Z1162" s="975"/>
      <c r="AA1162" s="975"/>
      <c r="AB1162" s="976"/>
      <c r="AC1162" s="859"/>
      <c r="AD1162" s="859"/>
      <c r="AE1162" s="859"/>
      <c r="AF1162" s="859"/>
    </row>
    <row r="1163" spans="1:32" ht="25.5">
      <c r="A1163" s="969">
        <v>13</v>
      </c>
      <c r="B1163" s="982" t="s">
        <v>3576</v>
      </c>
      <c r="C1163" s="971">
        <v>810</v>
      </c>
      <c r="D1163" s="972">
        <v>20700</v>
      </c>
      <c r="E1163" s="972">
        <f>D1163*1.18</f>
        <v>24426</v>
      </c>
      <c r="F1163" s="975"/>
      <c r="G1163" s="975"/>
      <c r="H1163" s="975"/>
      <c r="I1163" s="975"/>
      <c r="J1163" s="975"/>
      <c r="K1163" s="975"/>
      <c r="L1163" s="975"/>
      <c r="M1163" s="975"/>
      <c r="N1163" s="975"/>
      <c r="O1163" s="975"/>
      <c r="P1163" s="975">
        <f>E1163/2</f>
        <v>12213</v>
      </c>
      <c r="Q1163" s="975"/>
      <c r="R1163" s="975">
        <f>P1163</f>
        <v>12213</v>
      </c>
      <c r="S1163" s="975"/>
      <c r="T1163" s="975"/>
      <c r="U1163" s="975"/>
      <c r="V1163" s="975"/>
      <c r="W1163" s="975"/>
      <c r="X1163" s="975"/>
      <c r="Y1163" s="975"/>
      <c r="Z1163" s="975"/>
      <c r="AA1163" s="975"/>
      <c r="AB1163" s="976"/>
      <c r="AC1163" s="859"/>
      <c r="AD1163" s="859"/>
      <c r="AE1163" s="859"/>
      <c r="AF1163" s="859"/>
    </row>
    <row r="1164" spans="1:32" ht="38.25">
      <c r="A1164" s="969">
        <v>14</v>
      </c>
      <c r="B1164" s="982" t="s">
        <v>3577</v>
      </c>
      <c r="C1164" s="971">
        <v>810</v>
      </c>
      <c r="D1164" s="972">
        <v>50400</v>
      </c>
      <c r="E1164" s="972">
        <f>D1164*1.18</f>
        <v>59472</v>
      </c>
      <c r="F1164" s="975"/>
      <c r="G1164" s="975"/>
      <c r="H1164" s="975"/>
      <c r="I1164" s="975"/>
      <c r="J1164" s="975"/>
      <c r="K1164" s="975"/>
      <c r="L1164" s="975"/>
      <c r="M1164" s="975"/>
      <c r="N1164" s="975"/>
      <c r="O1164" s="975"/>
      <c r="P1164" s="975">
        <f>E1164/2</f>
        <v>29736</v>
      </c>
      <c r="Q1164" s="975"/>
      <c r="R1164" s="975">
        <f>P1164</f>
        <v>29736</v>
      </c>
      <c r="S1164" s="975"/>
      <c r="T1164" s="975"/>
      <c r="U1164" s="975"/>
      <c r="V1164" s="975"/>
      <c r="W1164" s="975"/>
      <c r="X1164" s="975"/>
      <c r="Y1164" s="975"/>
      <c r="Z1164" s="975"/>
      <c r="AA1164" s="975"/>
      <c r="AB1164" s="976"/>
      <c r="AC1164" s="859"/>
      <c r="AD1164" s="859"/>
      <c r="AE1164" s="859"/>
      <c r="AF1164" s="859"/>
    </row>
    <row r="1165" spans="1:32" ht="38.25">
      <c r="A1165" s="969">
        <v>15</v>
      </c>
      <c r="B1165" s="982" t="s">
        <v>2181</v>
      </c>
      <c r="C1165" s="971">
        <v>810</v>
      </c>
      <c r="D1165" s="972">
        <v>145300</v>
      </c>
      <c r="E1165" s="972">
        <f>D1165*1.18</f>
        <v>171454</v>
      </c>
      <c r="F1165" s="975"/>
      <c r="G1165" s="975"/>
      <c r="H1165" s="975"/>
      <c r="I1165" s="975"/>
      <c r="J1165" s="975"/>
      <c r="K1165" s="975"/>
      <c r="L1165" s="983"/>
      <c r="M1165" s="975"/>
      <c r="N1165" s="975"/>
      <c r="O1165" s="975"/>
      <c r="P1165" s="975">
        <f>E1165/2</f>
        <v>85727</v>
      </c>
      <c r="Q1165" s="975"/>
      <c r="R1165" s="975">
        <f>P1165</f>
        <v>85727</v>
      </c>
      <c r="S1165" s="975"/>
      <c r="T1165" s="975"/>
      <c r="U1165" s="975"/>
      <c r="V1165" s="975"/>
      <c r="W1165" s="975"/>
      <c r="X1165" s="975"/>
      <c r="Y1165" s="975"/>
      <c r="Z1165" s="975"/>
      <c r="AA1165" s="975"/>
      <c r="AB1165" s="976"/>
      <c r="AC1165" s="859"/>
      <c r="AD1165" s="859"/>
      <c r="AE1165" s="859"/>
      <c r="AF1165" s="859"/>
    </row>
    <row r="1166" spans="1:32">
      <c r="A1166" s="969">
        <v>17</v>
      </c>
      <c r="B1166" s="984" t="s">
        <v>2182</v>
      </c>
      <c r="C1166" s="971">
        <v>810</v>
      </c>
      <c r="D1166" s="972">
        <f>E1166/1.18</f>
        <v>88711.016949152545</v>
      </c>
      <c r="E1166" s="972">
        <v>104679</v>
      </c>
      <c r="F1166" s="975"/>
      <c r="G1166" s="975"/>
      <c r="H1166" s="975"/>
      <c r="I1166" s="975"/>
      <c r="J1166" s="975"/>
      <c r="K1166" s="975"/>
      <c r="L1166" s="975"/>
      <c r="M1166" s="975"/>
      <c r="N1166" s="975">
        <f>E1166/2</f>
        <v>52339.5</v>
      </c>
      <c r="O1166" s="975"/>
      <c r="P1166" s="975">
        <f>N1166</f>
        <v>52339.5</v>
      </c>
      <c r="Q1166" s="975"/>
      <c r="R1166" s="975"/>
      <c r="S1166" s="975"/>
      <c r="T1166" s="975"/>
      <c r="U1166" s="975"/>
      <c r="V1166" s="975"/>
      <c r="W1166" s="975"/>
      <c r="X1166" s="975"/>
      <c r="Y1166" s="975"/>
      <c r="Z1166" s="975"/>
      <c r="AA1166" s="975"/>
      <c r="AB1166" s="976"/>
      <c r="AC1166" s="859"/>
      <c r="AD1166" s="859"/>
      <c r="AE1166" s="859"/>
      <c r="AF1166" s="859"/>
    </row>
    <row r="1167" spans="1:32">
      <c r="A1167" s="969">
        <v>18</v>
      </c>
      <c r="B1167" s="984" t="s">
        <v>2183</v>
      </c>
      <c r="C1167" s="971">
        <v>810</v>
      </c>
      <c r="D1167" s="972">
        <f>E1167/1.18</f>
        <v>112743.22033898305</v>
      </c>
      <c r="E1167" s="972">
        <v>133037</v>
      </c>
      <c r="F1167" s="975"/>
      <c r="G1167" s="975"/>
      <c r="H1167" s="975"/>
      <c r="I1167" s="975"/>
      <c r="J1167" s="975"/>
      <c r="K1167" s="975"/>
      <c r="L1167" s="975"/>
      <c r="M1167" s="975"/>
      <c r="N1167" s="975"/>
      <c r="O1167" s="975"/>
      <c r="P1167" s="975">
        <f>E1167/2</f>
        <v>66518.5</v>
      </c>
      <c r="Q1167" s="975"/>
      <c r="R1167" s="975">
        <f>P1167</f>
        <v>66518.5</v>
      </c>
      <c r="S1167" s="975"/>
      <c r="T1167" s="975"/>
      <c r="U1167" s="975"/>
      <c r="V1167" s="975"/>
      <c r="W1167" s="975"/>
      <c r="X1167" s="975"/>
      <c r="Y1167" s="975"/>
      <c r="Z1167" s="975"/>
      <c r="AA1167" s="975"/>
      <c r="AB1167" s="976"/>
      <c r="AC1167" s="859"/>
      <c r="AD1167" s="859"/>
      <c r="AE1167" s="859"/>
      <c r="AF1167" s="859"/>
    </row>
    <row r="1168" spans="1:32">
      <c r="A1168" s="969">
        <v>20</v>
      </c>
      <c r="B1168" s="984" t="s">
        <v>2184</v>
      </c>
      <c r="C1168" s="971">
        <v>810</v>
      </c>
      <c r="D1168" s="972">
        <f>E1168/1.18</f>
        <v>364406.77966101695</v>
      </c>
      <c r="E1168" s="972">
        <v>430000</v>
      </c>
      <c r="F1168" s="975"/>
      <c r="G1168" s="975"/>
      <c r="H1168" s="975"/>
      <c r="I1168" s="975"/>
      <c r="J1168" s="975"/>
      <c r="K1168" s="975"/>
      <c r="L1168" s="975"/>
      <c r="M1168" s="975"/>
      <c r="N1168" s="975"/>
      <c r="O1168" s="975"/>
      <c r="P1168" s="975"/>
      <c r="Q1168" s="975"/>
      <c r="R1168" s="975">
        <f>E1168/2</f>
        <v>215000</v>
      </c>
      <c r="S1168" s="975"/>
      <c r="T1168" s="975"/>
      <c r="U1168" s="975"/>
      <c r="V1168" s="975">
        <f>R1168</f>
        <v>215000</v>
      </c>
      <c r="W1168" s="975"/>
      <c r="X1168" s="975"/>
      <c r="Y1168" s="975"/>
      <c r="Z1168" s="975"/>
      <c r="AA1168" s="975"/>
      <c r="AB1168" s="976"/>
      <c r="AC1168" s="859"/>
      <c r="AD1168" s="859"/>
      <c r="AE1168" s="859"/>
      <c r="AF1168" s="859"/>
    </row>
    <row r="1169" spans="1:32">
      <c r="A1169" s="969">
        <v>21</v>
      </c>
      <c r="B1169" s="970" t="s">
        <v>3704</v>
      </c>
      <c r="C1169" s="971">
        <v>835</v>
      </c>
      <c r="D1169" s="972"/>
      <c r="E1169" s="972">
        <f>SUM(F1169:AB1169)</f>
        <v>938277.43</v>
      </c>
      <c r="F1169" s="985">
        <v>54590.95</v>
      </c>
      <c r="G1169" s="975"/>
      <c r="H1169" s="985">
        <v>36706.32</v>
      </c>
      <c r="I1169" s="975"/>
      <c r="J1169" s="985">
        <v>103308.98</v>
      </c>
      <c r="K1169" s="975"/>
      <c r="L1169" s="985">
        <v>142411.25</v>
      </c>
      <c r="M1169" s="975"/>
      <c r="N1169" s="985">
        <v>162360.03</v>
      </c>
      <c r="O1169" s="975"/>
      <c r="P1169" s="985">
        <v>101533.25</v>
      </c>
      <c r="Q1169" s="975"/>
      <c r="R1169" s="985">
        <v>59782.28</v>
      </c>
      <c r="S1169" s="975"/>
      <c r="T1169" s="985">
        <v>29782.22</v>
      </c>
      <c r="U1169" s="975"/>
      <c r="V1169" s="985">
        <v>54714.27</v>
      </c>
      <c r="W1169" s="975"/>
      <c r="X1169" s="985">
        <v>138854.92000000001</v>
      </c>
      <c r="Y1169" s="975"/>
      <c r="Z1169" s="985">
        <v>38893.75</v>
      </c>
      <c r="AA1169" s="975"/>
      <c r="AB1169" s="985">
        <v>15339.21</v>
      </c>
      <c r="AC1169" s="859"/>
      <c r="AD1169" s="859"/>
      <c r="AE1169" s="859"/>
      <c r="AF1169" s="859"/>
    </row>
    <row r="1170" spans="1:32">
      <c r="A1170" s="971"/>
      <c r="B1170" s="986"/>
      <c r="C1170" s="971" t="s">
        <v>3062</v>
      </c>
      <c r="D1170" s="972"/>
      <c r="E1170" s="972">
        <f>SUM(E1154:E1169)</f>
        <v>6776292.4299999997</v>
      </c>
      <c r="F1170" s="987">
        <f t="shared" ref="F1170:AA1170" si="16">SUM(F1154:F1169)</f>
        <v>54590.95</v>
      </c>
      <c r="G1170" s="987">
        <f t="shared" si="16"/>
        <v>0</v>
      </c>
      <c r="H1170" s="987">
        <f t="shared" si="16"/>
        <v>36706.32</v>
      </c>
      <c r="I1170" s="987">
        <f t="shared" si="16"/>
        <v>0</v>
      </c>
      <c r="J1170" s="987">
        <f t="shared" si="16"/>
        <v>103308.98</v>
      </c>
      <c r="K1170" s="987">
        <f t="shared" si="16"/>
        <v>0</v>
      </c>
      <c r="L1170" s="987">
        <f t="shared" si="16"/>
        <v>386671.25</v>
      </c>
      <c r="M1170" s="987">
        <f t="shared" si="16"/>
        <v>0</v>
      </c>
      <c r="N1170" s="987">
        <f t="shared" si="16"/>
        <v>740442.03</v>
      </c>
      <c r="O1170" s="987">
        <f t="shared" si="16"/>
        <v>0</v>
      </c>
      <c r="P1170" s="987">
        <f t="shared" si="16"/>
        <v>1340780.75</v>
      </c>
      <c r="Q1170" s="987">
        <f t="shared" si="16"/>
        <v>0</v>
      </c>
      <c r="R1170" s="987">
        <f t="shared" si="16"/>
        <v>650387.78</v>
      </c>
      <c r="S1170" s="987">
        <f t="shared" si="16"/>
        <v>0</v>
      </c>
      <c r="T1170" s="987">
        <f t="shared" si="16"/>
        <v>1750602.22</v>
      </c>
      <c r="U1170" s="987">
        <f t="shared" si="16"/>
        <v>0</v>
      </c>
      <c r="V1170" s="987">
        <f t="shared" si="16"/>
        <v>1519714.27</v>
      </c>
      <c r="W1170" s="987">
        <f t="shared" si="16"/>
        <v>0</v>
      </c>
      <c r="X1170" s="987">
        <f t="shared" si="16"/>
        <v>138854.92000000001</v>
      </c>
      <c r="Y1170" s="987">
        <f t="shared" si="16"/>
        <v>0</v>
      </c>
      <c r="Z1170" s="987">
        <f>SUM(Z1154:Z1169)</f>
        <v>38893.75</v>
      </c>
      <c r="AA1170" s="987">
        <f t="shared" si="16"/>
        <v>0</v>
      </c>
      <c r="AB1170" s="987">
        <f>SUM(AB1154:AB1169)</f>
        <v>15339.21</v>
      </c>
      <c r="AC1170" s="859"/>
      <c r="AD1170" s="859"/>
      <c r="AE1170" s="859"/>
      <c r="AF1170" s="859"/>
    </row>
    <row r="1171" spans="1:32">
      <c r="Q1171" s="859"/>
      <c r="R1171" s="859"/>
      <c r="S1171" s="859"/>
      <c r="T1171" s="859"/>
      <c r="U1171" s="859"/>
      <c r="V1171" s="859"/>
      <c r="W1171" s="859"/>
      <c r="X1171" s="859"/>
      <c r="Y1171" s="859"/>
      <c r="Z1171" s="859"/>
      <c r="AA1171" s="859"/>
      <c r="AB1171" s="859"/>
      <c r="AC1171" s="859"/>
      <c r="AD1171" s="859"/>
      <c r="AE1171" s="859"/>
      <c r="AF1171" s="859"/>
    </row>
    <row r="1172" spans="1:32">
      <c r="Q1172" s="859"/>
      <c r="R1172" s="859"/>
      <c r="S1172" s="859"/>
      <c r="T1172" s="859"/>
      <c r="U1172" s="859"/>
      <c r="V1172" s="859"/>
      <c r="W1172" s="859"/>
      <c r="X1172" s="859"/>
      <c r="Y1172" s="859"/>
      <c r="Z1172" s="859"/>
      <c r="AA1172" s="859"/>
      <c r="AB1172" s="859"/>
      <c r="AC1172" s="859"/>
      <c r="AD1172" s="859"/>
      <c r="AE1172" s="859"/>
      <c r="AF1172" s="859"/>
    </row>
    <row r="1173" spans="1:32">
      <c r="A1173" s="1872" t="s">
        <v>2185</v>
      </c>
      <c r="B1173" s="1873" t="s">
        <v>2186</v>
      </c>
      <c r="C1173" s="1873"/>
      <c r="D1173" s="1873"/>
      <c r="E1173" s="1873"/>
      <c r="F1173" s="1873"/>
      <c r="G1173" s="1873"/>
      <c r="H1173" s="1873"/>
      <c r="I1173" s="1873"/>
      <c r="J1173" s="1873"/>
      <c r="K1173" s="1873" t="s">
        <v>2187</v>
      </c>
      <c r="L1173" s="1873" t="s">
        <v>2188</v>
      </c>
      <c r="Q1173" s="859"/>
      <c r="R1173" s="859"/>
      <c r="S1173" s="859"/>
      <c r="T1173" s="859"/>
      <c r="U1173" s="859"/>
      <c r="V1173" s="859"/>
      <c r="W1173" s="859"/>
      <c r="X1173" s="859"/>
      <c r="Y1173" s="859"/>
      <c r="Z1173" s="859"/>
      <c r="AA1173" s="859"/>
      <c r="AB1173" s="859"/>
      <c r="AC1173" s="859"/>
      <c r="AD1173" s="859"/>
      <c r="AE1173" s="859"/>
      <c r="AF1173" s="859"/>
    </row>
    <row r="1174" spans="1:32" ht="84">
      <c r="A1174" s="1872"/>
      <c r="B1174" s="1873" t="s">
        <v>2189</v>
      </c>
      <c r="C1174" s="1873" t="s">
        <v>2190</v>
      </c>
      <c r="D1174" s="1873"/>
      <c r="E1174" s="988" t="s">
        <v>2191</v>
      </c>
      <c r="F1174" s="1873" t="s">
        <v>2192</v>
      </c>
      <c r="G1174" s="988" t="s">
        <v>2193</v>
      </c>
      <c r="H1174" s="1873" t="s">
        <v>2194</v>
      </c>
      <c r="I1174" s="1873" t="s">
        <v>2195</v>
      </c>
      <c r="J1174" s="1873"/>
      <c r="K1174" s="1873"/>
      <c r="L1174" s="1873"/>
      <c r="Q1174" s="859"/>
      <c r="R1174" s="859"/>
      <c r="S1174" s="859"/>
      <c r="T1174" s="859"/>
      <c r="U1174" s="859"/>
      <c r="V1174" s="859"/>
      <c r="W1174" s="859"/>
      <c r="X1174" s="859"/>
      <c r="Y1174" s="859"/>
      <c r="Z1174" s="859"/>
      <c r="AA1174" s="859"/>
      <c r="AB1174" s="859"/>
      <c r="AC1174" s="859"/>
      <c r="AD1174" s="859"/>
      <c r="AE1174" s="859"/>
      <c r="AF1174" s="859"/>
    </row>
    <row r="1175" spans="1:32" ht="108">
      <c r="A1175" s="1872"/>
      <c r="B1175" s="1873"/>
      <c r="C1175" s="1873"/>
      <c r="D1175" s="1873"/>
      <c r="E1175" s="989" t="s">
        <v>2196</v>
      </c>
      <c r="F1175" s="1873"/>
      <c r="G1175" s="989" t="s">
        <v>2196</v>
      </c>
      <c r="H1175" s="1873"/>
      <c r="I1175" s="988" t="s">
        <v>2197</v>
      </c>
      <c r="J1175" s="988" t="s">
        <v>653</v>
      </c>
      <c r="K1175" s="1873"/>
      <c r="L1175" s="988" t="s">
        <v>654</v>
      </c>
      <c r="Q1175" s="859"/>
      <c r="R1175" s="859"/>
      <c r="S1175" s="859"/>
      <c r="T1175" s="859"/>
      <c r="U1175" s="859"/>
      <c r="V1175" s="859"/>
      <c r="W1175" s="859"/>
      <c r="X1175" s="859"/>
      <c r="Y1175" s="859"/>
      <c r="Z1175" s="859"/>
      <c r="AA1175" s="859"/>
      <c r="AB1175" s="859"/>
      <c r="AC1175" s="859"/>
      <c r="AD1175" s="859"/>
      <c r="AE1175" s="859"/>
      <c r="AF1175" s="859"/>
    </row>
    <row r="1176" spans="1:32">
      <c r="A1176" s="990" t="s">
        <v>2049</v>
      </c>
      <c r="B1176" s="991">
        <v>2</v>
      </c>
      <c r="C1176" s="1874">
        <v>3</v>
      </c>
      <c r="D1176" s="1874"/>
      <c r="E1176" s="991">
        <v>4</v>
      </c>
      <c r="F1176" s="991">
        <v>5</v>
      </c>
      <c r="G1176" s="991">
        <v>6</v>
      </c>
      <c r="H1176" s="991">
        <v>7</v>
      </c>
      <c r="I1176" s="991">
        <v>8</v>
      </c>
      <c r="J1176" s="991">
        <v>9</v>
      </c>
      <c r="K1176" s="991">
        <v>10</v>
      </c>
      <c r="L1176" s="991">
        <v>11</v>
      </c>
      <c r="Q1176" s="859"/>
      <c r="R1176" s="859"/>
      <c r="S1176" s="859"/>
      <c r="T1176" s="859"/>
      <c r="U1176" s="859"/>
      <c r="V1176" s="859"/>
      <c r="W1176" s="859"/>
      <c r="X1176" s="859"/>
      <c r="Y1176" s="859"/>
      <c r="Z1176" s="859"/>
      <c r="AA1176" s="859"/>
      <c r="AB1176" s="859"/>
      <c r="AC1176" s="859"/>
      <c r="AD1176" s="859"/>
      <c r="AE1176" s="859"/>
      <c r="AF1176" s="859"/>
    </row>
    <row r="1177" spans="1:32" ht="27">
      <c r="A1177" s="992">
        <v>1</v>
      </c>
      <c r="B1177" s="993" t="s">
        <v>655</v>
      </c>
      <c r="C1177" s="1870" t="s">
        <v>656</v>
      </c>
      <c r="D1177" s="1870"/>
      <c r="E1177" s="994" t="s">
        <v>657</v>
      </c>
      <c r="F1177" s="995">
        <v>1</v>
      </c>
      <c r="G1177" s="994" t="s">
        <v>658</v>
      </c>
      <c r="H1177" s="996">
        <v>0</v>
      </c>
      <c r="I1177" s="997" t="s">
        <v>659</v>
      </c>
      <c r="J1177" s="997" t="s">
        <v>660</v>
      </c>
      <c r="K1177" s="994" t="s">
        <v>661</v>
      </c>
      <c r="L1177" s="995" t="s">
        <v>662</v>
      </c>
      <c r="Q1177" s="859"/>
      <c r="R1177" s="859"/>
      <c r="S1177" s="859"/>
      <c r="T1177" s="859"/>
      <c r="U1177" s="859"/>
      <c r="V1177" s="859"/>
      <c r="W1177" s="859"/>
      <c r="X1177" s="859"/>
      <c r="Y1177" s="859"/>
      <c r="Z1177" s="859"/>
      <c r="AA1177" s="859"/>
      <c r="AB1177" s="859"/>
      <c r="AC1177" s="859"/>
      <c r="AD1177" s="859"/>
      <c r="AE1177" s="859"/>
      <c r="AF1177" s="859"/>
    </row>
    <row r="1178" spans="1:32" ht="27">
      <c r="A1178" s="992">
        <v>2</v>
      </c>
      <c r="B1178" s="993" t="s">
        <v>663</v>
      </c>
      <c r="C1178" s="1870" t="s">
        <v>656</v>
      </c>
      <c r="D1178" s="1870"/>
      <c r="E1178" s="994" t="s">
        <v>657</v>
      </c>
      <c r="F1178" s="995">
        <v>3</v>
      </c>
      <c r="G1178" s="994" t="s">
        <v>658</v>
      </c>
      <c r="H1178" s="996">
        <v>0</v>
      </c>
      <c r="I1178" s="997" t="s">
        <v>664</v>
      </c>
      <c r="J1178" s="997" t="s">
        <v>660</v>
      </c>
      <c r="K1178" s="994" t="s">
        <v>661</v>
      </c>
      <c r="L1178" s="995" t="s">
        <v>662</v>
      </c>
      <c r="Q1178" s="859"/>
      <c r="R1178" s="859"/>
      <c r="S1178" s="859"/>
      <c r="T1178" s="859"/>
      <c r="U1178" s="859"/>
      <c r="V1178" s="859"/>
      <c r="W1178" s="859"/>
      <c r="X1178" s="859"/>
      <c r="Y1178" s="859"/>
      <c r="Z1178" s="859"/>
      <c r="AA1178" s="859"/>
      <c r="AB1178" s="859"/>
      <c r="AC1178" s="859"/>
      <c r="AD1178" s="859"/>
      <c r="AE1178" s="859"/>
      <c r="AF1178" s="859"/>
    </row>
    <row r="1179" spans="1:32" ht="36">
      <c r="A1179" s="992">
        <v>3</v>
      </c>
      <c r="B1179" s="993" t="s">
        <v>665</v>
      </c>
      <c r="C1179" s="1870" t="s">
        <v>656</v>
      </c>
      <c r="D1179" s="1870"/>
      <c r="E1179" s="994" t="s">
        <v>657</v>
      </c>
      <c r="F1179" s="998">
        <v>3</v>
      </c>
      <c r="G1179" s="994" t="s">
        <v>658</v>
      </c>
      <c r="H1179" s="996">
        <v>0</v>
      </c>
      <c r="I1179" s="997" t="s">
        <v>666</v>
      </c>
      <c r="J1179" s="997" t="s">
        <v>660</v>
      </c>
      <c r="K1179" s="994" t="s">
        <v>661</v>
      </c>
      <c r="L1179" s="995" t="s">
        <v>662</v>
      </c>
      <c r="Q1179" s="859"/>
      <c r="R1179" s="859"/>
      <c r="S1179" s="859"/>
      <c r="T1179" s="859"/>
      <c r="U1179" s="859"/>
      <c r="V1179" s="859"/>
      <c r="W1179" s="859"/>
      <c r="X1179" s="859"/>
      <c r="Y1179" s="859"/>
      <c r="Z1179" s="859"/>
      <c r="AA1179" s="859"/>
      <c r="AB1179" s="859"/>
      <c r="AC1179" s="859"/>
      <c r="AD1179" s="859"/>
      <c r="AE1179" s="859"/>
      <c r="AF1179" s="859"/>
    </row>
    <row r="1180" spans="1:32" ht="27">
      <c r="A1180" s="992">
        <f>A1179+1</f>
        <v>4</v>
      </c>
      <c r="B1180" s="993" t="s">
        <v>2003</v>
      </c>
      <c r="C1180" s="1870" t="s">
        <v>667</v>
      </c>
      <c r="D1180" s="1870"/>
      <c r="E1180" s="994" t="s">
        <v>1868</v>
      </c>
      <c r="F1180" s="998">
        <v>1</v>
      </c>
      <c r="G1180" s="994" t="s">
        <v>658</v>
      </c>
      <c r="H1180" s="996">
        <v>0</v>
      </c>
      <c r="I1180" s="997" t="s">
        <v>666</v>
      </c>
      <c r="J1180" s="997" t="s">
        <v>660</v>
      </c>
      <c r="K1180" s="994" t="s">
        <v>661</v>
      </c>
      <c r="L1180" s="995" t="s">
        <v>662</v>
      </c>
      <c r="Q1180" s="859"/>
      <c r="R1180" s="859"/>
      <c r="S1180" s="859"/>
      <c r="T1180" s="859"/>
      <c r="U1180" s="859"/>
      <c r="V1180" s="859"/>
      <c r="W1180" s="859"/>
      <c r="X1180" s="859"/>
      <c r="Y1180" s="859"/>
      <c r="Z1180" s="859"/>
      <c r="AA1180" s="859"/>
      <c r="AB1180" s="859"/>
      <c r="AC1180" s="859"/>
      <c r="AD1180" s="859"/>
      <c r="AE1180" s="859"/>
      <c r="AF1180" s="859"/>
    </row>
    <row r="1181" spans="1:32" ht="60">
      <c r="A1181" s="992">
        <f>A1180+1</f>
        <v>5</v>
      </c>
      <c r="B1181" s="993" t="s">
        <v>3610</v>
      </c>
      <c r="C1181" s="1870" t="s">
        <v>667</v>
      </c>
      <c r="D1181" s="1870"/>
      <c r="E1181" s="994" t="s">
        <v>1868</v>
      </c>
      <c r="F1181" s="998">
        <v>1</v>
      </c>
      <c r="G1181" s="994" t="s">
        <v>658</v>
      </c>
      <c r="H1181" s="996">
        <v>0</v>
      </c>
      <c r="I1181" s="997" t="s">
        <v>666</v>
      </c>
      <c r="J1181" s="997" t="s">
        <v>660</v>
      </c>
      <c r="K1181" s="994" t="s">
        <v>661</v>
      </c>
      <c r="L1181" s="995" t="s">
        <v>662</v>
      </c>
      <c r="Q1181" s="859"/>
      <c r="R1181" s="859"/>
      <c r="S1181" s="859"/>
      <c r="T1181" s="859"/>
      <c r="U1181" s="859"/>
      <c r="V1181" s="859"/>
      <c r="W1181" s="859"/>
      <c r="X1181" s="859"/>
      <c r="Y1181" s="859"/>
      <c r="Z1181" s="859"/>
      <c r="AA1181" s="859"/>
      <c r="AB1181" s="859"/>
      <c r="AC1181" s="859"/>
      <c r="AD1181" s="859"/>
      <c r="AE1181" s="859"/>
      <c r="AF1181" s="859"/>
    </row>
    <row r="1182" spans="1:32" ht="36">
      <c r="A1182" s="992">
        <f>A1181+1</f>
        <v>6</v>
      </c>
      <c r="B1182" s="993" t="s">
        <v>3612</v>
      </c>
      <c r="C1182" s="1870" t="s">
        <v>667</v>
      </c>
      <c r="D1182" s="1870"/>
      <c r="E1182" s="994" t="s">
        <v>1868</v>
      </c>
      <c r="F1182" s="998">
        <v>1</v>
      </c>
      <c r="G1182" s="994" t="s">
        <v>658</v>
      </c>
      <c r="H1182" s="996">
        <v>0</v>
      </c>
      <c r="I1182" s="997" t="s">
        <v>1869</v>
      </c>
      <c r="J1182" s="997" t="s">
        <v>660</v>
      </c>
      <c r="K1182" s="994" t="s">
        <v>661</v>
      </c>
      <c r="L1182" s="995" t="s">
        <v>662</v>
      </c>
      <c r="Q1182" s="859"/>
      <c r="R1182" s="859"/>
      <c r="S1182" s="859"/>
      <c r="T1182" s="859"/>
      <c r="U1182" s="859"/>
      <c r="V1182" s="859"/>
      <c r="W1182" s="859"/>
      <c r="X1182" s="859"/>
      <c r="Y1182" s="859"/>
      <c r="Z1182" s="859"/>
      <c r="AA1182" s="859"/>
      <c r="AB1182" s="859"/>
      <c r="AC1182" s="859"/>
      <c r="AD1182" s="859"/>
      <c r="AE1182" s="859"/>
      <c r="AF1182" s="859"/>
    </row>
    <row r="1183" spans="1:32" ht="84">
      <c r="A1183" s="992">
        <f>A1182+1</f>
        <v>7</v>
      </c>
      <c r="B1183" s="993" t="s">
        <v>3613</v>
      </c>
      <c r="C1183" s="1870" t="s">
        <v>667</v>
      </c>
      <c r="D1183" s="1870"/>
      <c r="E1183" s="994" t="s">
        <v>1868</v>
      </c>
      <c r="F1183" s="998">
        <v>1</v>
      </c>
      <c r="G1183" s="994" t="s">
        <v>658</v>
      </c>
      <c r="H1183" s="996">
        <v>0</v>
      </c>
      <c r="I1183" s="997" t="s">
        <v>1869</v>
      </c>
      <c r="J1183" s="997" t="s">
        <v>660</v>
      </c>
      <c r="K1183" s="994" t="s">
        <v>661</v>
      </c>
      <c r="L1183" s="995" t="s">
        <v>662</v>
      </c>
      <c r="Q1183" s="859"/>
      <c r="R1183" s="859"/>
      <c r="S1183" s="859"/>
      <c r="T1183" s="859"/>
      <c r="U1183" s="859"/>
      <c r="V1183" s="859"/>
      <c r="W1183" s="859"/>
      <c r="X1183" s="859"/>
      <c r="Y1183" s="859"/>
      <c r="Z1183" s="859"/>
      <c r="AA1183" s="859"/>
      <c r="AB1183" s="859"/>
      <c r="AC1183" s="859"/>
      <c r="AD1183" s="859"/>
      <c r="AE1183" s="859"/>
      <c r="AF1183" s="859"/>
    </row>
    <row r="1184" spans="1:32" ht="15" customHeight="1">
      <c r="A1184" s="992">
        <v>8</v>
      </c>
      <c r="B1184" s="993" t="s">
        <v>1870</v>
      </c>
      <c r="C1184" s="1870" t="s">
        <v>656</v>
      </c>
      <c r="D1184" s="1870"/>
      <c r="E1184" s="994" t="s">
        <v>1871</v>
      </c>
      <c r="F1184" s="998">
        <v>1</v>
      </c>
      <c r="G1184" s="994" t="s">
        <v>658</v>
      </c>
      <c r="H1184" s="996">
        <v>0</v>
      </c>
      <c r="I1184" s="997" t="s">
        <v>1869</v>
      </c>
      <c r="J1184" s="997" t="s">
        <v>660</v>
      </c>
      <c r="K1184" s="994" t="s">
        <v>661</v>
      </c>
      <c r="L1184" s="995" t="s">
        <v>662</v>
      </c>
      <c r="Q1184" s="859"/>
      <c r="R1184" s="859"/>
      <c r="S1184" s="859"/>
      <c r="T1184" s="859"/>
      <c r="U1184" s="859"/>
      <c r="V1184" s="859"/>
      <c r="W1184" s="859"/>
      <c r="X1184" s="859"/>
      <c r="Y1184" s="859"/>
      <c r="Z1184" s="859"/>
      <c r="AA1184" s="859"/>
      <c r="AB1184" s="859"/>
      <c r="AC1184" s="859"/>
      <c r="AD1184" s="859"/>
      <c r="AE1184" s="859"/>
      <c r="AF1184" s="859"/>
    </row>
    <row r="1185" spans="1:32" ht="15" customHeight="1">
      <c r="A1185" s="992">
        <v>9</v>
      </c>
      <c r="B1185" s="999" t="s">
        <v>1872</v>
      </c>
      <c r="C1185" s="1870" t="s">
        <v>667</v>
      </c>
      <c r="D1185" s="1870"/>
      <c r="E1185" s="994" t="s">
        <v>1868</v>
      </c>
      <c r="F1185" s="998">
        <v>1</v>
      </c>
      <c r="G1185" s="994" t="s">
        <v>658</v>
      </c>
      <c r="H1185" s="996">
        <v>0</v>
      </c>
      <c r="I1185" s="997" t="s">
        <v>666</v>
      </c>
      <c r="J1185" s="997" t="s">
        <v>660</v>
      </c>
      <c r="K1185" s="994" t="s">
        <v>661</v>
      </c>
      <c r="L1185" s="995" t="s">
        <v>662</v>
      </c>
      <c r="Q1185" s="859"/>
      <c r="R1185" s="859"/>
      <c r="S1185" s="859"/>
      <c r="T1185" s="859"/>
      <c r="U1185" s="859"/>
      <c r="V1185" s="859"/>
      <c r="W1185" s="859"/>
      <c r="X1185" s="859"/>
      <c r="Y1185" s="859"/>
      <c r="Z1185" s="859"/>
      <c r="AA1185" s="859"/>
      <c r="AB1185" s="859"/>
      <c r="AC1185" s="859"/>
      <c r="AD1185" s="859"/>
      <c r="AE1185" s="859"/>
      <c r="AF1185" s="859"/>
    </row>
    <row r="1186" spans="1:32" ht="15" customHeight="1">
      <c r="A1186" s="992">
        <v>10</v>
      </c>
      <c r="B1186" s="999" t="s">
        <v>1873</v>
      </c>
      <c r="C1186" s="1870" t="s">
        <v>667</v>
      </c>
      <c r="D1186" s="1870"/>
      <c r="E1186" s="994" t="s">
        <v>1868</v>
      </c>
      <c r="F1186" s="998">
        <v>1</v>
      </c>
      <c r="G1186" s="994" t="s">
        <v>658</v>
      </c>
      <c r="H1186" s="996">
        <v>0</v>
      </c>
      <c r="I1186" s="997" t="s">
        <v>666</v>
      </c>
      <c r="J1186" s="997" t="s">
        <v>660</v>
      </c>
      <c r="K1186" s="994" t="s">
        <v>661</v>
      </c>
      <c r="L1186" s="995" t="s">
        <v>662</v>
      </c>
      <c r="Q1186" s="859"/>
      <c r="R1186" s="859"/>
      <c r="S1186" s="859"/>
      <c r="T1186" s="859"/>
      <c r="U1186" s="859"/>
      <c r="V1186" s="859"/>
      <c r="W1186" s="859"/>
      <c r="X1186" s="859"/>
      <c r="Y1186" s="859"/>
      <c r="Z1186" s="859"/>
      <c r="AA1186" s="859"/>
      <c r="AB1186" s="859"/>
      <c r="AC1186" s="859"/>
      <c r="AD1186" s="859"/>
      <c r="AE1186" s="859"/>
      <c r="AF1186" s="859"/>
    </row>
    <row r="1187" spans="1:32" ht="47.25">
      <c r="A1187" s="992">
        <v>11</v>
      </c>
      <c r="B1187" s="1000" t="s">
        <v>1874</v>
      </c>
      <c r="C1187" s="1870" t="s">
        <v>667</v>
      </c>
      <c r="D1187" s="1870"/>
      <c r="E1187" s="994" t="s">
        <v>1868</v>
      </c>
      <c r="F1187" s="998">
        <v>1</v>
      </c>
      <c r="G1187" s="994" t="s">
        <v>658</v>
      </c>
      <c r="H1187" s="996">
        <v>0</v>
      </c>
      <c r="I1187" s="997" t="s">
        <v>659</v>
      </c>
      <c r="J1187" s="997" t="s">
        <v>660</v>
      </c>
      <c r="K1187" s="994" t="s">
        <v>661</v>
      </c>
      <c r="L1187" s="995" t="s">
        <v>662</v>
      </c>
      <c r="Q1187" s="859"/>
      <c r="R1187" s="859"/>
      <c r="S1187" s="859"/>
      <c r="T1187" s="859"/>
      <c r="U1187" s="859"/>
      <c r="V1187" s="859"/>
      <c r="W1187" s="859"/>
      <c r="X1187" s="859"/>
      <c r="Y1187" s="859"/>
      <c r="Z1187" s="859"/>
      <c r="AA1187" s="859"/>
      <c r="AB1187" s="859"/>
      <c r="AC1187" s="859"/>
      <c r="AD1187" s="859"/>
      <c r="AE1187" s="859"/>
      <c r="AF1187" s="859"/>
    </row>
    <row r="1188" spans="1:32" ht="15" customHeight="1">
      <c r="A1188" s="992">
        <v>12</v>
      </c>
      <c r="B1188" s="1001" t="s">
        <v>1875</v>
      </c>
      <c r="C1188" s="1870" t="s">
        <v>667</v>
      </c>
      <c r="D1188" s="1870"/>
      <c r="E1188" s="994" t="s">
        <v>1868</v>
      </c>
      <c r="F1188" s="998">
        <v>1</v>
      </c>
      <c r="G1188" s="994" t="s">
        <v>658</v>
      </c>
      <c r="H1188" s="996">
        <v>0</v>
      </c>
      <c r="I1188" s="997" t="s">
        <v>666</v>
      </c>
      <c r="J1188" s="997" t="s">
        <v>660</v>
      </c>
      <c r="K1188" s="994" t="s">
        <v>661</v>
      </c>
      <c r="L1188" s="995" t="s">
        <v>662</v>
      </c>
      <c r="Q1188" s="859"/>
      <c r="R1188" s="859"/>
      <c r="S1188" s="859"/>
      <c r="T1188" s="859"/>
      <c r="U1188" s="859"/>
      <c r="V1188" s="859"/>
      <c r="W1188" s="859"/>
      <c r="X1188" s="859"/>
      <c r="Y1188" s="859"/>
      <c r="Z1188" s="859"/>
      <c r="AA1188" s="859"/>
      <c r="AB1188" s="859"/>
      <c r="AC1188" s="859"/>
      <c r="AD1188" s="859"/>
      <c r="AE1188" s="859"/>
      <c r="AF1188" s="859"/>
    </row>
    <row r="1189" spans="1:32" ht="15" customHeight="1">
      <c r="A1189" s="992">
        <v>13</v>
      </c>
      <c r="B1189" s="1001" t="s">
        <v>1876</v>
      </c>
      <c r="C1189" s="1870" t="s">
        <v>667</v>
      </c>
      <c r="D1189" s="1870"/>
      <c r="E1189" s="994" t="s">
        <v>1868</v>
      </c>
      <c r="F1189" s="998">
        <v>1</v>
      </c>
      <c r="G1189" s="994" t="s">
        <v>658</v>
      </c>
      <c r="H1189" s="996">
        <v>0</v>
      </c>
      <c r="I1189" s="997" t="s">
        <v>666</v>
      </c>
      <c r="J1189" s="997" t="s">
        <v>660</v>
      </c>
      <c r="K1189" s="994" t="s">
        <v>661</v>
      </c>
      <c r="L1189" s="995" t="s">
        <v>662</v>
      </c>
      <c r="Q1189" s="859"/>
      <c r="R1189" s="859"/>
      <c r="S1189" s="859"/>
      <c r="T1189" s="859"/>
      <c r="U1189" s="859"/>
      <c r="V1189" s="859"/>
      <c r="W1189" s="859"/>
      <c r="X1189" s="859"/>
      <c r="Y1189" s="859"/>
      <c r="Z1189" s="859"/>
      <c r="AA1189" s="859"/>
      <c r="AB1189" s="859"/>
      <c r="AC1189" s="859"/>
      <c r="AD1189" s="859"/>
      <c r="AE1189" s="859"/>
      <c r="AF1189" s="859"/>
    </row>
    <row r="1190" spans="1:32" ht="15" customHeight="1">
      <c r="A1190" s="992">
        <v>14</v>
      </c>
      <c r="B1190" s="1001" t="s">
        <v>1877</v>
      </c>
      <c r="C1190" s="1870" t="s">
        <v>667</v>
      </c>
      <c r="D1190" s="1870"/>
      <c r="E1190" s="994" t="s">
        <v>1868</v>
      </c>
      <c r="F1190" s="998">
        <v>1</v>
      </c>
      <c r="G1190" s="994" t="s">
        <v>658</v>
      </c>
      <c r="H1190" s="996">
        <v>0</v>
      </c>
      <c r="I1190" s="997" t="s">
        <v>659</v>
      </c>
      <c r="J1190" s="997" t="s">
        <v>660</v>
      </c>
      <c r="K1190" s="994" t="s">
        <v>661</v>
      </c>
      <c r="L1190" s="995" t="s">
        <v>662</v>
      </c>
      <c r="Q1190" s="859"/>
      <c r="R1190" s="859"/>
      <c r="S1190" s="859"/>
      <c r="T1190" s="859"/>
      <c r="U1190" s="859"/>
      <c r="V1190" s="859"/>
      <c r="W1190" s="859"/>
      <c r="X1190" s="859"/>
      <c r="Y1190" s="859"/>
      <c r="Z1190" s="859"/>
      <c r="AA1190" s="859"/>
      <c r="AB1190" s="859"/>
      <c r="AC1190" s="859"/>
      <c r="AD1190" s="859"/>
      <c r="AE1190" s="859"/>
      <c r="AF1190" s="859"/>
    </row>
    <row r="1191" spans="1:32" ht="15" customHeight="1">
      <c r="A1191" s="992">
        <v>15</v>
      </c>
      <c r="B1191" s="1001" t="s">
        <v>1878</v>
      </c>
      <c r="C1191" s="1870" t="s">
        <v>667</v>
      </c>
      <c r="D1191" s="1870"/>
      <c r="E1191" s="994" t="s">
        <v>1868</v>
      </c>
      <c r="F1191" s="998">
        <v>1</v>
      </c>
      <c r="G1191" s="994" t="s">
        <v>658</v>
      </c>
      <c r="H1191" s="996">
        <v>0</v>
      </c>
      <c r="I1191" s="997" t="s">
        <v>659</v>
      </c>
      <c r="J1191" s="997" t="s">
        <v>660</v>
      </c>
      <c r="K1191" s="994" t="s">
        <v>661</v>
      </c>
      <c r="L1191" s="995" t="s">
        <v>662</v>
      </c>
      <c r="Q1191" s="859"/>
      <c r="R1191" s="859"/>
      <c r="S1191" s="859"/>
      <c r="T1191" s="859"/>
      <c r="U1191" s="859"/>
      <c r="V1191" s="859"/>
      <c r="W1191" s="859"/>
      <c r="X1191" s="859"/>
      <c r="Y1191" s="859"/>
      <c r="Z1191" s="859"/>
      <c r="AA1191" s="859"/>
      <c r="AB1191" s="859"/>
      <c r="AC1191" s="859"/>
      <c r="AD1191" s="859"/>
      <c r="AE1191" s="859"/>
      <c r="AF1191" s="859"/>
    </row>
    <row r="1192" spans="1:32" ht="15" customHeight="1">
      <c r="A1192" s="992">
        <v>16</v>
      </c>
      <c r="B1192" s="1001" t="s">
        <v>1879</v>
      </c>
      <c r="C1192" s="1870" t="s">
        <v>667</v>
      </c>
      <c r="D1192" s="1870"/>
      <c r="E1192" s="994" t="s">
        <v>1868</v>
      </c>
      <c r="F1192" s="998">
        <v>1</v>
      </c>
      <c r="G1192" s="994" t="s">
        <v>658</v>
      </c>
      <c r="H1192" s="996">
        <v>0</v>
      </c>
      <c r="I1192" s="997" t="s">
        <v>659</v>
      </c>
      <c r="J1192" s="997" t="s">
        <v>660</v>
      </c>
      <c r="K1192" s="994" t="s">
        <v>661</v>
      </c>
      <c r="L1192" s="995" t="s">
        <v>662</v>
      </c>
      <c r="Q1192" s="859"/>
      <c r="R1192" s="859"/>
      <c r="S1192" s="859"/>
      <c r="T1192" s="859"/>
      <c r="U1192" s="859"/>
      <c r="V1192" s="859"/>
      <c r="W1192" s="859"/>
      <c r="X1192" s="859"/>
      <c r="Y1192" s="859"/>
      <c r="Z1192" s="859"/>
      <c r="AA1192" s="859"/>
      <c r="AB1192" s="859"/>
      <c r="AC1192" s="859"/>
      <c r="AD1192" s="859"/>
      <c r="AE1192" s="859"/>
      <c r="AF1192" s="859"/>
    </row>
    <row r="1193" spans="1:32" ht="15" customHeight="1">
      <c r="A1193" s="992">
        <v>17</v>
      </c>
      <c r="B1193" s="1001" t="s">
        <v>1880</v>
      </c>
      <c r="C1193" s="1870" t="s">
        <v>667</v>
      </c>
      <c r="D1193" s="1870"/>
      <c r="E1193" s="994" t="s">
        <v>1868</v>
      </c>
      <c r="F1193" s="998">
        <v>1</v>
      </c>
      <c r="G1193" s="994" t="s">
        <v>658</v>
      </c>
      <c r="H1193" s="996">
        <v>0</v>
      </c>
      <c r="I1193" s="997" t="s">
        <v>664</v>
      </c>
      <c r="J1193" s="997" t="s">
        <v>660</v>
      </c>
      <c r="K1193" s="994" t="s">
        <v>661</v>
      </c>
      <c r="L1193" s="995" t="s">
        <v>662</v>
      </c>
      <c r="Q1193" s="859"/>
      <c r="R1193" s="859"/>
      <c r="S1193" s="859"/>
      <c r="T1193" s="859"/>
      <c r="U1193" s="859"/>
      <c r="V1193" s="859"/>
      <c r="W1193" s="859"/>
      <c r="X1193" s="859"/>
      <c r="Y1193" s="859"/>
      <c r="Z1193" s="859"/>
      <c r="AA1193" s="859"/>
      <c r="AB1193" s="859"/>
      <c r="AC1193" s="859"/>
      <c r="AD1193" s="859"/>
      <c r="AE1193" s="859"/>
      <c r="AF1193" s="859"/>
    </row>
    <row r="1194" spans="1:32" ht="15" customHeight="1">
      <c r="A1194" s="992">
        <v>18</v>
      </c>
      <c r="B1194" s="1001" t="s">
        <v>3614</v>
      </c>
      <c r="C1194" s="1870" t="s">
        <v>667</v>
      </c>
      <c r="D1194" s="1870"/>
      <c r="E1194" s="994" t="s">
        <v>1868</v>
      </c>
      <c r="F1194" s="998">
        <v>1</v>
      </c>
      <c r="G1194" s="994" t="s">
        <v>658</v>
      </c>
      <c r="H1194" s="996">
        <v>0</v>
      </c>
      <c r="I1194" s="997" t="s">
        <v>659</v>
      </c>
      <c r="J1194" s="997" t="s">
        <v>660</v>
      </c>
      <c r="K1194" s="994" t="s">
        <v>661</v>
      </c>
      <c r="L1194" s="995" t="s">
        <v>662</v>
      </c>
      <c r="Q1194" s="859"/>
      <c r="R1194" s="859"/>
      <c r="S1194" s="859"/>
      <c r="T1194" s="859"/>
      <c r="U1194" s="859"/>
      <c r="V1194" s="859"/>
      <c r="W1194" s="859"/>
      <c r="X1194" s="859"/>
      <c r="Y1194" s="859"/>
      <c r="Z1194" s="859"/>
      <c r="AA1194" s="859"/>
      <c r="AB1194" s="859"/>
      <c r="AC1194" s="859"/>
      <c r="AD1194" s="859"/>
      <c r="AE1194" s="859"/>
      <c r="AF1194" s="859"/>
    </row>
    <row r="1195" spans="1:32" ht="15" customHeight="1">
      <c r="A1195" s="992">
        <v>19</v>
      </c>
      <c r="B1195" s="1001" t="s">
        <v>4725</v>
      </c>
      <c r="C1195" s="1870" t="s">
        <v>667</v>
      </c>
      <c r="D1195" s="1870"/>
      <c r="E1195" s="994" t="s">
        <v>1868</v>
      </c>
      <c r="F1195" s="998">
        <v>1</v>
      </c>
      <c r="G1195" s="994" t="s">
        <v>658</v>
      </c>
      <c r="H1195" s="996">
        <v>0</v>
      </c>
      <c r="I1195" s="997" t="s">
        <v>1869</v>
      </c>
      <c r="J1195" s="997" t="s">
        <v>660</v>
      </c>
      <c r="K1195" s="994" t="s">
        <v>661</v>
      </c>
      <c r="L1195" s="995" t="s">
        <v>662</v>
      </c>
      <c r="Q1195" s="859"/>
      <c r="R1195" s="859"/>
      <c r="S1195" s="859"/>
      <c r="T1195" s="859"/>
      <c r="U1195" s="859"/>
      <c r="V1195" s="859"/>
      <c r="W1195" s="859"/>
      <c r="X1195" s="859"/>
      <c r="Y1195" s="859"/>
      <c r="Z1195" s="859"/>
      <c r="AA1195" s="859"/>
      <c r="AB1195" s="859"/>
      <c r="AC1195" s="859"/>
      <c r="AD1195" s="859"/>
      <c r="AE1195" s="859"/>
      <c r="AF1195" s="859"/>
    </row>
    <row r="1196" spans="1:32" ht="15" customHeight="1">
      <c r="Q1196" s="859"/>
      <c r="R1196" s="859"/>
      <c r="S1196" s="859"/>
      <c r="T1196" s="859"/>
      <c r="U1196" s="859"/>
      <c r="V1196" s="859"/>
      <c r="W1196" s="859"/>
      <c r="X1196" s="859"/>
      <c r="Y1196" s="859"/>
      <c r="Z1196" s="859"/>
      <c r="AA1196" s="859"/>
      <c r="AB1196" s="859"/>
      <c r="AC1196" s="859"/>
      <c r="AD1196" s="859"/>
      <c r="AE1196" s="859"/>
      <c r="AF1196" s="859"/>
    </row>
    <row r="1197" spans="1:32" ht="15" customHeight="1">
      <c r="A1197" s="1871" t="s">
        <v>4726</v>
      </c>
      <c r="B1197" s="1871"/>
      <c r="C1197" s="1871"/>
      <c r="D1197" s="1871"/>
      <c r="E1197" s="1871"/>
      <c r="F1197" s="1871"/>
      <c r="G1197" s="1871"/>
      <c r="H1197" s="1871"/>
      <c r="I1197" s="1871"/>
      <c r="J1197" s="1871"/>
      <c r="K1197" s="1871"/>
      <c r="Q1197" s="859"/>
      <c r="R1197" s="859"/>
      <c r="S1197" s="859"/>
      <c r="T1197" s="859"/>
      <c r="U1197" s="859"/>
      <c r="V1197" s="859"/>
      <c r="W1197" s="859"/>
      <c r="X1197" s="859"/>
      <c r="Y1197" s="859"/>
      <c r="Z1197" s="859"/>
      <c r="AA1197" s="859"/>
      <c r="AB1197" s="859"/>
      <c r="AC1197" s="859"/>
      <c r="AD1197" s="859"/>
      <c r="AE1197" s="859"/>
      <c r="AF1197" s="859"/>
    </row>
    <row r="1198" spans="1:32" ht="15.75" customHeight="1">
      <c r="A1198" s="1871" t="s">
        <v>4727</v>
      </c>
      <c r="B1198" s="1871"/>
      <c r="C1198" s="1871"/>
      <c r="D1198" s="1871"/>
      <c r="E1198" s="1871"/>
      <c r="F1198" s="1871"/>
      <c r="G1198" s="1871"/>
      <c r="H1198" s="1871"/>
      <c r="I1198" s="1871"/>
      <c r="J1198" s="1871"/>
      <c r="K1198" s="1871"/>
      <c r="Q1198" s="859"/>
      <c r="R1198" s="859"/>
      <c r="S1198" s="859"/>
      <c r="T1198" s="859"/>
      <c r="U1198" s="859"/>
      <c r="V1198" s="859"/>
      <c r="W1198" s="859"/>
      <c r="X1198" s="859"/>
      <c r="Y1198" s="859"/>
      <c r="Z1198" s="859"/>
      <c r="AA1198" s="859"/>
      <c r="AB1198" s="859"/>
      <c r="AC1198" s="859"/>
      <c r="AD1198" s="859"/>
      <c r="AE1198" s="859"/>
      <c r="AF1198" s="859"/>
    </row>
    <row r="1199" spans="1:32" ht="15.75" customHeight="1">
      <c r="A1199" s="1871" t="s">
        <v>4728</v>
      </c>
      <c r="B1199" s="1871"/>
      <c r="C1199" s="1871"/>
      <c r="D1199" s="1871"/>
      <c r="E1199" s="1871"/>
      <c r="F1199" s="1871"/>
      <c r="G1199" s="1871"/>
      <c r="H1199" s="1871"/>
      <c r="I1199" s="1871"/>
      <c r="J1199" s="1871"/>
      <c r="K1199" s="1871"/>
      <c r="Q1199" s="859"/>
      <c r="R1199" s="859"/>
      <c r="S1199" s="859"/>
      <c r="T1199" s="859"/>
      <c r="U1199" s="859"/>
      <c r="V1199" s="859"/>
      <c r="W1199" s="859"/>
      <c r="X1199" s="859"/>
      <c r="Y1199" s="859"/>
      <c r="Z1199" s="859"/>
      <c r="AA1199" s="859"/>
      <c r="AB1199" s="859"/>
      <c r="AC1199" s="859"/>
      <c r="AD1199" s="859"/>
      <c r="AE1199" s="859"/>
      <c r="AF1199" s="859"/>
    </row>
    <row r="1200" spans="1:32" ht="15.75" customHeight="1">
      <c r="A1200" s="1002"/>
      <c r="B1200" s="1002"/>
      <c r="C1200" s="1002"/>
      <c r="D1200" s="1002"/>
      <c r="E1200" s="1003"/>
      <c r="F1200" s="1004"/>
      <c r="G1200" s="1002"/>
      <c r="H1200" s="1002"/>
      <c r="I1200" s="1002"/>
      <c r="J1200" s="1002"/>
      <c r="K1200" s="1002"/>
      <c r="Q1200" s="859"/>
      <c r="R1200" s="859"/>
      <c r="S1200" s="859"/>
      <c r="T1200" s="859"/>
      <c r="U1200" s="859"/>
      <c r="V1200" s="859"/>
      <c r="W1200" s="859"/>
      <c r="X1200" s="859"/>
      <c r="Y1200" s="859"/>
      <c r="Z1200" s="859"/>
      <c r="AA1200" s="859"/>
      <c r="AB1200" s="859"/>
      <c r="AC1200" s="859"/>
      <c r="AD1200" s="859"/>
      <c r="AE1200" s="859"/>
      <c r="AF1200" s="859"/>
    </row>
    <row r="1201" spans="1:32" ht="15.75" customHeight="1">
      <c r="A1201" s="1005"/>
      <c r="B1201" s="1005"/>
      <c r="C1201" s="1005"/>
      <c r="D1201" s="1005"/>
      <c r="E1201" s="1005"/>
      <c r="F1201" s="1005"/>
      <c r="G1201" s="1005"/>
      <c r="H1201" s="1005"/>
      <c r="I1201" s="1005"/>
      <c r="J1201" s="1005"/>
      <c r="K1201" s="1005"/>
      <c r="Q1201" s="859"/>
      <c r="R1201" s="859"/>
      <c r="S1201" s="859"/>
      <c r="T1201" s="859"/>
      <c r="U1201" s="859"/>
      <c r="V1201" s="859"/>
      <c r="W1201" s="859"/>
      <c r="X1201" s="859"/>
      <c r="Y1201" s="859"/>
      <c r="Z1201" s="859"/>
      <c r="AA1201" s="859"/>
      <c r="AB1201" s="859"/>
      <c r="AC1201" s="859"/>
      <c r="AD1201" s="859"/>
      <c r="AE1201" s="859"/>
      <c r="AF1201" s="859"/>
    </row>
    <row r="1202" spans="1:32" ht="15.75" customHeight="1">
      <c r="A1202" s="1006"/>
      <c r="B1202" s="1880"/>
      <c r="C1202" s="1880"/>
      <c r="D1202" s="1883" t="s">
        <v>1459</v>
      </c>
      <c r="E1202" s="1883"/>
      <c r="F1202" s="1883"/>
      <c r="G1202" s="1883"/>
      <c r="H1202" s="1883"/>
      <c r="I1202" s="1883"/>
      <c r="J1202" s="1883"/>
      <c r="K1202" s="1883"/>
      <c r="Q1202" s="859"/>
      <c r="R1202" s="859"/>
      <c r="S1202" s="859"/>
      <c r="T1202" s="859"/>
      <c r="U1202" s="859"/>
      <c r="V1202" s="859"/>
      <c r="W1202" s="859"/>
      <c r="X1202" s="859"/>
      <c r="Y1202" s="859"/>
      <c r="Z1202" s="859"/>
      <c r="AA1202" s="859"/>
      <c r="AB1202" s="859"/>
      <c r="AC1202" s="859"/>
      <c r="AD1202" s="859"/>
      <c r="AE1202" s="859"/>
      <c r="AF1202" s="859"/>
    </row>
    <row r="1203" spans="1:32" ht="15.75" customHeight="1">
      <c r="A1203" s="1006"/>
      <c r="B1203" s="1880"/>
      <c r="C1203" s="1880"/>
      <c r="D1203" s="1879" t="s">
        <v>4729</v>
      </c>
      <c r="E1203" s="1879"/>
      <c r="F1203" s="1879"/>
      <c r="G1203" s="1879"/>
      <c r="H1203" s="1879"/>
      <c r="I1203" s="1879"/>
      <c r="J1203" s="1879"/>
      <c r="K1203" s="1879"/>
      <c r="Q1203" s="859"/>
      <c r="R1203" s="859"/>
      <c r="S1203" s="859"/>
      <c r="T1203" s="859"/>
      <c r="U1203" s="859"/>
      <c r="V1203" s="859"/>
      <c r="W1203" s="859"/>
      <c r="X1203" s="859"/>
      <c r="Y1203" s="859"/>
      <c r="Z1203" s="859"/>
      <c r="AA1203" s="859"/>
      <c r="AB1203" s="859"/>
      <c r="AC1203" s="859"/>
      <c r="AD1203" s="859"/>
      <c r="AE1203" s="859"/>
      <c r="AF1203" s="859"/>
    </row>
    <row r="1204" spans="1:32" ht="15.75" customHeight="1">
      <c r="A1204" s="1006"/>
      <c r="B1204" s="1880"/>
      <c r="C1204" s="1880"/>
      <c r="D1204" s="1879" t="s">
        <v>4730</v>
      </c>
      <c r="E1204" s="1879"/>
      <c r="F1204" s="1879"/>
      <c r="G1204" s="1879"/>
      <c r="H1204" s="1879"/>
      <c r="I1204" s="1879"/>
      <c r="J1204" s="1879"/>
      <c r="K1204" s="1879"/>
      <c r="Q1204" s="859"/>
      <c r="R1204" s="859"/>
      <c r="S1204" s="859"/>
      <c r="T1204" s="859"/>
      <c r="U1204" s="859"/>
      <c r="V1204" s="859"/>
      <c r="W1204" s="859"/>
      <c r="X1204" s="859"/>
      <c r="Y1204" s="859"/>
      <c r="Z1204" s="859"/>
      <c r="AA1204" s="859"/>
      <c r="AB1204" s="859"/>
      <c r="AC1204" s="859"/>
      <c r="AD1204" s="859"/>
      <c r="AE1204" s="859"/>
      <c r="AF1204" s="859"/>
    </row>
    <row r="1205" spans="1:32" ht="15.75" customHeight="1">
      <c r="A1205" s="1006"/>
      <c r="B1205" s="1880"/>
      <c r="C1205" s="1880"/>
      <c r="D1205" s="1881" t="s">
        <v>4731</v>
      </c>
      <c r="E1205" s="1882"/>
      <c r="F1205" s="1882"/>
      <c r="G1205" s="1882"/>
      <c r="H1205" s="1882"/>
      <c r="I1205" s="1882"/>
      <c r="J1205" s="1882"/>
      <c r="K1205" s="1882"/>
      <c r="Q1205" s="859"/>
      <c r="R1205" s="859"/>
      <c r="S1205" s="859"/>
      <c r="T1205" s="859"/>
      <c r="U1205" s="859"/>
      <c r="V1205" s="859"/>
      <c r="W1205" s="859"/>
      <c r="X1205" s="859"/>
      <c r="Y1205" s="859"/>
      <c r="Z1205" s="859"/>
      <c r="AA1205" s="859"/>
      <c r="AB1205" s="859"/>
      <c r="AC1205" s="859"/>
      <c r="AD1205" s="859"/>
      <c r="AE1205" s="859"/>
      <c r="AF1205" s="859"/>
    </row>
    <row r="1206" spans="1:32" ht="15.75" customHeight="1">
      <c r="A1206" s="1006"/>
      <c r="B1206" s="1880"/>
      <c r="C1206" s="1880"/>
      <c r="D1206" s="1879" t="s">
        <v>4732</v>
      </c>
      <c r="E1206" s="1879"/>
      <c r="F1206" s="1879"/>
      <c r="G1206" s="1879"/>
      <c r="H1206" s="1879"/>
      <c r="I1206" s="1879"/>
      <c r="J1206" s="1879"/>
      <c r="K1206" s="1879"/>
      <c r="Q1206" s="859"/>
      <c r="R1206" s="859"/>
      <c r="S1206" s="859"/>
      <c r="T1206" s="859"/>
      <c r="U1206" s="859"/>
      <c r="V1206" s="859"/>
      <c r="W1206" s="859"/>
      <c r="X1206" s="859"/>
      <c r="Y1206" s="859"/>
      <c r="Z1206" s="859"/>
      <c r="AA1206" s="859"/>
      <c r="AB1206" s="859"/>
      <c r="AC1206" s="859"/>
      <c r="AD1206" s="859"/>
      <c r="AE1206" s="859"/>
      <c r="AF1206" s="859"/>
    </row>
    <row r="1207" spans="1:32" ht="15.75">
      <c r="A1207" s="1006"/>
      <c r="B1207" s="1880"/>
      <c r="C1207" s="1880"/>
      <c r="D1207" s="1879" t="s">
        <v>4733</v>
      </c>
      <c r="E1207" s="1879"/>
      <c r="F1207" s="1879"/>
      <c r="G1207" s="1879"/>
      <c r="H1207" s="1879"/>
      <c r="I1207" s="1879"/>
      <c r="J1207" s="1879"/>
      <c r="K1207" s="1879"/>
      <c r="Q1207" s="859"/>
      <c r="R1207" s="859"/>
      <c r="S1207" s="859"/>
      <c r="T1207" s="859"/>
      <c r="U1207" s="859"/>
      <c r="V1207" s="859"/>
      <c r="W1207" s="859"/>
      <c r="X1207" s="859"/>
      <c r="Y1207" s="859"/>
      <c r="Z1207" s="859"/>
      <c r="AA1207" s="859"/>
      <c r="AB1207" s="859"/>
      <c r="AC1207" s="859"/>
      <c r="AD1207" s="859"/>
      <c r="AE1207" s="859"/>
      <c r="AF1207" s="859"/>
    </row>
    <row r="1208" spans="1:32" ht="15.75">
      <c r="A1208" s="1006"/>
      <c r="B1208" s="1880"/>
      <c r="C1208" s="1880"/>
      <c r="D1208" s="1879" t="s">
        <v>4734</v>
      </c>
      <c r="E1208" s="1879"/>
      <c r="F1208" s="1879"/>
      <c r="G1208" s="1879"/>
      <c r="H1208" s="1879"/>
      <c r="I1208" s="1879"/>
      <c r="J1208" s="1879"/>
      <c r="K1208" s="1879"/>
      <c r="Q1208" s="859"/>
      <c r="R1208" s="859"/>
      <c r="S1208" s="859"/>
      <c r="T1208" s="859"/>
      <c r="U1208" s="859"/>
      <c r="V1208" s="859"/>
      <c r="W1208" s="859"/>
      <c r="X1208" s="859"/>
      <c r="Y1208" s="859"/>
      <c r="Z1208" s="859"/>
      <c r="AA1208" s="859"/>
      <c r="AB1208" s="859"/>
      <c r="AC1208" s="859"/>
      <c r="AD1208" s="859"/>
      <c r="AE1208" s="859"/>
      <c r="AF1208" s="859"/>
    </row>
    <row r="1209" spans="1:32">
      <c r="A1209" s="1007"/>
      <c r="B1209" s="1008"/>
      <c r="C1209" s="1008"/>
      <c r="D1209" s="1008"/>
      <c r="E1209" s="1008"/>
      <c r="F1209" s="1008"/>
      <c r="G1209" s="1008"/>
      <c r="H1209" s="1008"/>
      <c r="I1209" s="1008"/>
      <c r="J1209" s="1008"/>
      <c r="K1209" s="1008"/>
      <c r="Q1209" s="859"/>
      <c r="R1209" s="859"/>
      <c r="S1209" s="859"/>
      <c r="T1209" s="859"/>
      <c r="U1209" s="859"/>
      <c r="V1209" s="859"/>
      <c r="W1209" s="859"/>
      <c r="X1209" s="859"/>
      <c r="Y1209" s="859"/>
      <c r="Z1209" s="859"/>
      <c r="AA1209" s="859"/>
      <c r="AB1209" s="859"/>
      <c r="AC1209" s="859"/>
      <c r="AD1209" s="859"/>
      <c r="AE1209" s="859"/>
      <c r="AF1209" s="859"/>
    </row>
    <row r="1210" spans="1:32">
      <c r="A1210" s="1872" t="s">
        <v>2185</v>
      </c>
      <c r="B1210" s="1873" t="s">
        <v>2186</v>
      </c>
      <c r="C1210" s="1873"/>
      <c r="D1210" s="1873"/>
      <c r="E1210" s="1873"/>
      <c r="F1210" s="1873"/>
      <c r="G1210" s="1873"/>
      <c r="H1210" s="1873"/>
      <c r="I1210" s="1873"/>
      <c r="J1210" s="1873" t="s">
        <v>2187</v>
      </c>
      <c r="K1210" s="1873" t="s">
        <v>2188</v>
      </c>
      <c r="Q1210" s="859"/>
      <c r="R1210" s="859"/>
      <c r="S1210" s="859"/>
      <c r="T1210" s="859"/>
      <c r="U1210" s="859"/>
      <c r="V1210" s="859"/>
      <c r="W1210" s="859"/>
      <c r="X1210" s="859"/>
      <c r="Y1210" s="859"/>
      <c r="Z1210" s="859"/>
      <c r="AA1210" s="859"/>
      <c r="AB1210" s="859"/>
      <c r="AC1210" s="859"/>
      <c r="AD1210" s="859"/>
      <c r="AE1210" s="859"/>
      <c r="AF1210" s="859"/>
    </row>
    <row r="1211" spans="1:32" ht="15" customHeight="1">
      <c r="A1211" s="1872"/>
      <c r="B1211" s="1873" t="s">
        <v>2189</v>
      </c>
      <c r="C1211" s="1873" t="s">
        <v>2190</v>
      </c>
      <c r="D1211" s="988" t="s">
        <v>2191</v>
      </c>
      <c r="E1211" s="1873" t="s">
        <v>2192</v>
      </c>
      <c r="F1211" s="988" t="s">
        <v>2193</v>
      </c>
      <c r="G1211" s="1873" t="s">
        <v>2194</v>
      </c>
      <c r="H1211" s="1873" t="s">
        <v>2195</v>
      </c>
      <c r="I1211" s="1873"/>
      <c r="J1211" s="1873"/>
      <c r="K1211" s="1873"/>
      <c r="Q1211" s="859"/>
      <c r="R1211" s="859"/>
      <c r="S1211" s="859"/>
      <c r="T1211" s="859"/>
      <c r="U1211" s="859"/>
      <c r="V1211" s="859"/>
      <c r="W1211" s="859"/>
      <c r="X1211" s="859"/>
      <c r="Y1211" s="859"/>
      <c r="Z1211" s="859"/>
      <c r="AA1211" s="859"/>
      <c r="AB1211" s="859"/>
      <c r="AC1211" s="859"/>
      <c r="AD1211" s="859"/>
      <c r="AE1211" s="859"/>
      <c r="AF1211" s="859"/>
    </row>
    <row r="1212" spans="1:32" ht="108">
      <c r="A1212" s="1872"/>
      <c r="B1212" s="1873"/>
      <c r="C1212" s="1873"/>
      <c r="D1212" s="989" t="s">
        <v>2196</v>
      </c>
      <c r="E1212" s="1873"/>
      <c r="F1212" s="989" t="s">
        <v>2196</v>
      </c>
      <c r="G1212" s="1873"/>
      <c r="H1212" s="988" t="s">
        <v>2197</v>
      </c>
      <c r="I1212" s="988" t="s">
        <v>653</v>
      </c>
      <c r="J1212" s="1873"/>
      <c r="K1212" s="988" t="s">
        <v>654</v>
      </c>
      <c r="Q1212" s="859"/>
      <c r="R1212" s="859"/>
      <c r="S1212" s="859"/>
      <c r="T1212" s="859"/>
      <c r="U1212" s="859"/>
      <c r="V1212" s="859"/>
      <c r="W1212" s="859"/>
      <c r="X1212" s="859"/>
      <c r="Y1212" s="859"/>
      <c r="Z1212" s="859"/>
      <c r="AA1212" s="859"/>
      <c r="AB1212" s="859"/>
      <c r="AC1212" s="859"/>
      <c r="AD1212" s="859"/>
      <c r="AE1212" s="859"/>
      <c r="AF1212" s="859"/>
    </row>
    <row r="1213" spans="1:32">
      <c r="A1213" s="990" t="s">
        <v>2049</v>
      </c>
      <c r="B1213" s="991">
        <v>2</v>
      </c>
      <c r="C1213" s="991">
        <v>3</v>
      </c>
      <c r="D1213" s="991">
        <v>4</v>
      </c>
      <c r="E1213" s="991">
        <v>5</v>
      </c>
      <c r="F1213" s="991">
        <v>6</v>
      </c>
      <c r="G1213" s="991">
        <v>7</v>
      </c>
      <c r="H1213" s="991">
        <v>8</v>
      </c>
      <c r="I1213" s="991">
        <v>9</v>
      </c>
      <c r="J1213" s="991">
        <v>10</v>
      </c>
      <c r="K1213" s="991">
        <v>11</v>
      </c>
      <c r="Q1213" s="859"/>
      <c r="R1213" s="859"/>
      <c r="S1213" s="859"/>
      <c r="T1213" s="859"/>
      <c r="U1213" s="859"/>
      <c r="V1213" s="859"/>
      <c r="W1213" s="859"/>
      <c r="X1213" s="859"/>
      <c r="Y1213" s="859"/>
      <c r="Z1213" s="859"/>
      <c r="AA1213" s="859"/>
      <c r="AB1213" s="859"/>
      <c r="AC1213" s="859"/>
      <c r="AD1213" s="859"/>
      <c r="AE1213" s="859"/>
      <c r="AF1213" s="859"/>
    </row>
    <row r="1214" spans="1:32" ht="27">
      <c r="A1214" s="992">
        <v>1</v>
      </c>
      <c r="B1214" s="993" t="s">
        <v>4735</v>
      </c>
      <c r="C1214" s="995" t="s">
        <v>4736</v>
      </c>
      <c r="D1214" s="994" t="s">
        <v>4737</v>
      </c>
      <c r="E1214" s="995">
        <v>250</v>
      </c>
      <c r="F1214" s="994" t="s">
        <v>658</v>
      </c>
      <c r="G1214" s="996">
        <v>0</v>
      </c>
      <c r="H1214" s="997" t="s">
        <v>4738</v>
      </c>
      <c r="I1214" s="997" t="s">
        <v>660</v>
      </c>
      <c r="J1214" s="994" t="s">
        <v>661</v>
      </c>
      <c r="K1214" s="995" t="s">
        <v>662</v>
      </c>
      <c r="Q1214" s="859"/>
      <c r="R1214" s="859"/>
      <c r="S1214" s="859"/>
      <c r="T1214" s="859"/>
      <c r="U1214" s="859"/>
      <c r="V1214" s="859"/>
      <c r="W1214" s="859"/>
      <c r="X1214" s="859"/>
      <c r="Y1214" s="859"/>
      <c r="Z1214" s="859"/>
      <c r="AA1214" s="859"/>
      <c r="AB1214" s="859"/>
      <c r="AC1214" s="859"/>
      <c r="AD1214" s="859"/>
      <c r="AE1214" s="859"/>
      <c r="AF1214" s="859"/>
    </row>
    <row r="1215" spans="1:32" ht="27">
      <c r="A1215" s="992">
        <f t="shared" ref="A1215:A1269" si="17">A1214+1</f>
        <v>2</v>
      </c>
      <c r="B1215" s="993" t="s">
        <v>4739</v>
      </c>
      <c r="C1215" s="995" t="s">
        <v>4736</v>
      </c>
      <c r="D1215" s="994" t="s">
        <v>4737</v>
      </c>
      <c r="E1215" s="995">
        <v>12</v>
      </c>
      <c r="F1215" s="994" t="s">
        <v>658</v>
      </c>
      <c r="G1215" s="996">
        <v>0</v>
      </c>
      <c r="H1215" s="997" t="s">
        <v>4740</v>
      </c>
      <c r="I1215" s="997" t="s">
        <v>660</v>
      </c>
      <c r="J1215" s="994" t="s">
        <v>661</v>
      </c>
      <c r="K1215" s="995" t="s">
        <v>662</v>
      </c>
      <c r="Q1215" s="859"/>
      <c r="R1215" s="859"/>
      <c r="S1215" s="859"/>
      <c r="T1215" s="859"/>
      <c r="U1215" s="859"/>
      <c r="V1215" s="859"/>
      <c r="W1215" s="859"/>
      <c r="X1215" s="859"/>
      <c r="Y1215" s="859"/>
      <c r="Z1215" s="859"/>
      <c r="AA1215" s="859"/>
      <c r="AB1215" s="859"/>
      <c r="AC1215" s="859"/>
      <c r="AD1215" s="859"/>
      <c r="AE1215" s="859"/>
      <c r="AF1215" s="859"/>
    </row>
    <row r="1216" spans="1:32" ht="276">
      <c r="A1216" s="992">
        <f t="shared" si="17"/>
        <v>3</v>
      </c>
      <c r="B1216" s="993" t="s">
        <v>4741</v>
      </c>
      <c r="C1216" s="995" t="s">
        <v>656</v>
      </c>
      <c r="D1216" s="994" t="s">
        <v>657</v>
      </c>
      <c r="E1216" s="995"/>
      <c r="F1216" s="994" t="s">
        <v>658</v>
      </c>
      <c r="G1216" s="996">
        <v>0</v>
      </c>
      <c r="H1216" s="997" t="s">
        <v>4740</v>
      </c>
      <c r="I1216" s="997" t="s">
        <v>660</v>
      </c>
      <c r="J1216" s="994" t="s">
        <v>661</v>
      </c>
      <c r="K1216" s="995" t="s">
        <v>662</v>
      </c>
      <c r="Q1216" s="859"/>
      <c r="R1216" s="859"/>
      <c r="S1216" s="859"/>
      <c r="T1216" s="859"/>
      <c r="U1216" s="859"/>
      <c r="V1216" s="859"/>
      <c r="W1216" s="859"/>
      <c r="X1216" s="859"/>
      <c r="Y1216" s="859"/>
      <c r="Z1216" s="859"/>
      <c r="AA1216" s="859"/>
      <c r="AB1216" s="859"/>
      <c r="AC1216" s="859"/>
      <c r="AD1216" s="859"/>
      <c r="AE1216" s="859"/>
      <c r="AF1216" s="859"/>
    </row>
    <row r="1217" spans="1:32" ht="108">
      <c r="A1217" s="992">
        <f t="shared" si="17"/>
        <v>4</v>
      </c>
      <c r="B1217" s="993" t="s">
        <v>4742</v>
      </c>
      <c r="C1217" s="995" t="s">
        <v>656</v>
      </c>
      <c r="D1217" s="994" t="s">
        <v>657</v>
      </c>
      <c r="E1217" s="995"/>
      <c r="F1217" s="994" t="s">
        <v>658</v>
      </c>
      <c r="G1217" s="996">
        <v>0</v>
      </c>
      <c r="H1217" s="997" t="s">
        <v>4743</v>
      </c>
      <c r="I1217" s="997" t="s">
        <v>660</v>
      </c>
      <c r="J1217" s="994" t="s">
        <v>661</v>
      </c>
      <c r="K1217" s="995" t="s">
        <v>662</v>
      </c>
      <c r="Q1217" s="859"/>
      <c r="R1217" s="859"/>
      <c r="S1217" s="859"/>
      <c r="T1217" s="859"/>
      <c r="U1217" s="859"/>
      <c r="V1217" s="859"/>
      <c r="W1217" s="859"/>
      <c r="X1217" s="859"/>
      <c r="Y1217" s="859"/>
      <c r="Z1217" s="859"/>
      <c r="AA1217" s="859"/>
      <c r="AB1217" s="859"/>
      <c r="AC1217" s="859"/>
      <c r="AD1217" s="859"/>
      <c r="AE1217" s="859"/>
      <c r="AF1217" s="859"/>
    </row>
    <row r="1218" spans="1:32" ht="36">
      <c r="A1218" s="992">
        <f t="shared" si="17"/>
        <v>5</v>
      </c>
      <c r="B1218" s="993" t="s">
        <v>2265</v>
      </c>
      <c r="C1218" s="995" t="s">
        <v>667</v>
      </c>
      <c r="D1218" s="994" t="s">
        <v>1868</v>
      </c>
      <c r="E1218" s="998">
        <v>1</v>
      </c>
      <c r="F1218" s="994" t="s">
        <v>658</v>
      </c>
      <c r="G1218" s="996">
        <v>0</v>
      </c>
      <c r="H1218" s="997" t="s">
        <v>4743</v>
      </c>
      <c r="I1218" s="997" t="s">
        <v>660</v>
      </c>
      <c r="J1218" s="994" t="s">
        <v>661</v>
      </c>
      <c r="K1218" s="995" t="s">
        <v>662</v>
      </c>
      <c r="Q1218" s="859"/>
      <c r="R1218" s="859"/>
      <c r="S1218" s="859"/>
      <c r="T1218" s="859"/>
      <c r="U1218" s="859"/>
      <c r="V1218" s="859"/>
      <c r="W1218" s="859"/>
      <c r="X1218" s="859"/>
      <c r="Y1218" s="859"/>
      <c r="Z1218" s="859"/>
      <c r="AA1218" s="859"/>
      <c r="AB1218" s="859"/>
      <c r="AC1218" s="859"/>
      <c r="AD1218" s="859"/>
      <c r="AE1218" s="859"/>
      <c r="AF1218" s="859"/>
    </row>
    <row r="1219" spans="1:32" ht="27">
      <c r="A1219" s="992">
        <f t="shared" si="17"/>
        <v>6</v>
      </c>
      <c r="B1219" s="1009" t="s">
        <v>4744</v>
      </c>
      <c r="C1219" s="995" t="s">
        <v>656</v>
      </c>
      <c r="D1219" s="994" t="s">
        <v>4737</v>
      </c>
      <c r="E1219" s="998">
        <v>5</v>
      </c>
      <c r="F1219" s="994" t="s">
        <v>658</v>
      </c>
      <c r="G1219" s="996">
        <v>0</v>
      </c>
      <c r="H1219" s="997" t="s">
        <v>4740</v>
      </c>
      <c r="I1219" s="997" t="s">
        <v>660</v>
      </c>
      <c r="J1219" s="994" t="s">
        <v>661</v>
      </c>
      <c r="K1219" s="995" t="s">
        <v>662</v>
      </c>
      <c r="Q1219" s="859"/>
      <c r="R1219" s="859"/>
      <c r="S1219" s="859"/>
      <c r="T1219" s="859"/>
      <c r="U1219" s="859"/>
      <c r="V1219" s="859"/>
      <c r="W1219" s="859"/>
      <c r="X1219" s="859"/>
      <c r="Y1219" s="859"/>
      <c r="Z1219" s="859"/>
      <c r="AA1219" s="859"/>
      <c r="AB1219" s="859"/>
      <c r="AC1219" s="859"/>
      <c r="AD1219" s="859"/>
      <c r="AE1219" s="859"/>
      <c r="AF1219" s="859"/>
    </row>
    <row r="1220" spans="1:32" ht="27">
      <c r="A1220" s="992">
        <f t="shared" si="17"/>
        <v>7</v>
      </c>
      <c r="B1220" s="1009" t="s">
        <v>4745</v>
      </c>
      <c r="C1220" s="995" t="s">
        <v>656</v>
      </c>
      <c r="D1220" s="994" t="s">
        <v>1868</v>
      </c>
      <c r="E1220" s="998">
        <v>1</v>
      </c>
      <c r="F1220" s="994" t="s">
        <v>658</v>
      </c>
      <c r="G1220" s="996">
        <v>0</v>
      </c>
      <c r="H1220" s="997" t="s">
        <v>4743</v>
      </c>
      <c r="I1220" s="997" t="s">
        <v>660</v>
      </c>
      <c r="J1220" s="994" t="s">
        <v>661</v>
      </c>
      <c r="K1220" s="995" t="s">
        <v>662</v>
      </c>
      <c r="Q1220" s="859"/>
      <c r="R1220" s="859"/>
      <c r="S1220" s="859"/>
      <c r="T1220" s="859"/>
      <c r="U1220" s="859"/>
      <c r="V1220" s="859"/>
      <c r="W1220" s="859"/>
      <c r="X1220" s="859"/>
      <c r="Y1220" s="859"/>
      <c r="Z1220" s="859"/>
      <c r="AA1220" s="859"/>
      <c r="AB1220" s="859"/>
      <c r="AC1220" s="859"/>
      <c r="AD1220" s="859"/>
      <c r="AE1220" s="859"/>
      <c r="AF1220" s="859"/>
    </row>
    <row r="1221" spans="1:32" ht="48">
      <c r="A1221" s="992">
        <f t="shared" si="17"/>
        <v>8</v>
      </c>
      <c r="B1221" s="1010" t="s">
        <v>4746</v>
      </c>
      <c r="C1221" s="995" t="s">
        <v>667</v>
      </c>
      <c r="D1221" s="994" t="s">
        <v>1868</v>
      </c>
      <c r="E1221" s="998">
        <v>1</v>
      </c>
      <c r="F1221" s="994" t="s">
        <v>658</v>
      </c>
      <c r="G1221" s="996">
        <v>0</v>
      </c>
      <c r="H1221" s="997" t="s">
        <v>4747</v>
      </c>
      <c r="I1221" s="997" t="s">
        <v>660</v>
      </c>
      <c r="J1221" s="994" t="s">
        <v>661</v>
      </c>
      <c r="K1221" s="995" t="s">
        <v>662</v>
      </c>
      <c r="Q1221" s="859"/>
      <c r="R1221" s="859"/>
      <c r="S1221" s="859"/>
      <c r="T1221" s="859"/>
      <c r="U1221" s="859"/>
      <c r="V1221" s="859"/>
      <c r="W1221" s="859"/>
      <c r="X1221" s="859"/>
      <c r="Y1221" s="859"/>
      <c r="Z1221" s="859"/>
      <c r="AA1221" s="859"/>
      <c r="AB1221" s="859"/>
      <c r="AC1221" s="859"/>
      <c r="AD1221" s="859"/>
      <c r="AE1221" s="859"/>
      <c r="AF1221" s="859"/>
    </row>
    <row r="1222" spans="1:32" ht="48">
      <c r="A1222" s="992">
        <f t="shared" si="17"/>
        <v>9</v>
      </c>
      <c r="B1222" s="1010" t="s">
        <v>4748</v>
      </c>
      <c r="C1222" s="995" t="s">
        <v>667</v>
      </c>
      <c r="D1222" s="994" t="s">
        <v>1868</v>
      </c>
      <c r="E1222" s="998">
        <v>1</v>
      </c>
      <c r="F1222" s="994" t="s">
        <v>658</v>
      </c>
      <c r="G1222" s="996">
        <v>0</v>
      </c>
      <c r="H1222" s="997" t="s">
        <v>4743</v>
      </c>
      <c r="I1222" s="997" t="s">
        <v>660</v>
      </c>
      <c r="J1222" s="994" t="s">
        <v>661</v>
      </c>
      <c r="K1222" s="995" t="s">
        <v>662</v>
      </c>
      <c r="Q1222" s="859"/>
      <c r="R1222" s="859"/>
      <c r="S1222" s="859"/>
      <c r="T1222" s="859"/>
      <c r="U1222" s="859"/>
      <c r="V1222" s="859"/>
      <c r="W1222" s="859"/>
      <c r="X1222" s="859"/>
      <c r="Y1222" s="859"/>
      <c r="Z1222" s="859"/>
      <c r="AA1222" s="859"/>
      <c r="AB1222" s="859"/>
      <c r="AC1222" s="859"/>
      <c r="AD1222" s="859"/>
      <c r="AE1222" s="859"/>
      <c r="AF1222" s="859"/>
    </row>
    <row r="1223" spans="1:32" ht="36">
      <c r="A1223" s="992">
        <f t="shared" si="17"/>
        <v>10</v>
      </c>
      <c r="B1223" s="1010" t="s">
        <v>4749</v>
      </c>
      <c r="C1223" s="995" t="s">
        <v>667</v>
      </c>
      <c r="D1223" s="994" t="s">
        <v>1868</v>
      </c>
      <c r="E1223" s="998">
        <v>1</v>
      </c>
      <c r="F1223" s="994" t="s">
        <v>658</v>
      </c>
      <c r="G1223" s="996">
        <v>0</v>
      </c>
      <c r="H1223" s="997" t="s">
        <v>4743</v>
      </c>
      <c r="I1223" s="997" t="s">
        <v>660</v>
      </c>
      <c r="J1223" s="994" t="s">
        <v>661</v>
      </c>
      <c r="K1223" s="995" t="s">
        <v>662</v>
      </c>
      <c r="Q1223" s="859"/>
      <c r="R1223" s="859"/>
      <c r="S1223" s="859"/>
      <c r="T1223" s="859"/>
      <c r="U1223" s="859"/>
      <c r="V1223" s="859"/>
      <c r="W1223" s="859"/>
      <c r="X1223" s="859"/>
      <c r="Y1223" s="859"/>
      <c r="Z1223" s="859"/>
      <c r="AA1223" s="859"/>
      <c r="AB1223" s="859"/>
      <c r="AC1223" s="859"/>
      <c r="AD1223" s="859"/>
      <c r="AE1223" s="859"/>
      <c r="AF1223" s="859"/>
    </row>
    <row r="1224" spans="1:32" ht="60">
      <c r="A1224" s="992">
        <f t="shared" si="17"/>
        <v>11</v>
      </c>
      <c r="B1224" s="1010" t="s">
        <v>4750</v>
      </c>
      <c r="C1224" s="995" t="s">
        <v>667</v>
      </c>
      <c r="D1224" s="994" t="s">
        <v>1868</v>
      </c>
      <c r="E1224" s="998">
        <v>1</v>
      </c>
      <c r="F1224" s="994" t="s">
        <v>658</v>
      </c>
      <c r="G1224" s="996">
        <v>0</v>
      </c>
      <c r="H1224" s="997" t="s">
        <v>4743</v>
      </c>
      <c r="I1224" s="997" t="s">
        <v>660</v>
      </c>
      <c r="J1224" s="994" t="s">
        <v>661</v>
      </c>
      <c r="K1224" s="995" t="s">
        <v>662</v>
      </c>
      <c r="Q1224" s="859"/>
      <c r="R1224" s="859"/>
      <c r="S1224" s="859"/>
      <c r="T1224" s="859"/>
      <c r="U1224" s="859"/>
      <c r="V1224" s="859"/>
      <c r="W1224" s="859"/>
      <c r="X1224" s="859"/>
      <c r="Y1224" s="859"/>
      <c r="Z1224" s="859"/>
      <c r="AA1224" s="859"/>
      <c r="AB1224" s="859"/>
      <c r="AC1224" s="859"/>
      <c r="AD1224" s="859"/>
      <c r="AE1224" s="859"/>
      <c r="AF1224" s="859"/>
    </row>
    <row r="1225" spans="1:32" ht="60">
      <c r="A1225" s="992">
        <f t="shared" si="17"/>
        <v>12</v>
      </c>
      <c r="B1225" s="1010" t="s">
        <v>4751</v>
      </c>
      <c r="C1225" s="995" t="s">
        <v>667</v>
      </c>
      <c r="D1225" s="994" t="s">
        <v>1868</v>
      </c>
      <c r="E1225" s="998">
        <v>1</v>
      </c>
      <c r="F1225" s="994" t="s">
        <v>658</v>
      </c>
      <c r="G1225" s="996">
        <v>0</v>
      </c>
      <c r="H1225" s="997" t="s">
        <v>4738</v>
      </c>
      <c r="I1225" s="997" t="s">
        <v>660</v>
      </c>
      <c r="J1225" s="994" t="s">
        <v>661</v>
      </c>
      <c r="K1225" s="995" t="s">
        <v>662</v>
      </c>
      <c r="Q1225" s="859"/>
      <c r="R1225" s="859"/>
      <c r="S1225" s="859"/>
      <c r="T1225" s="859"/>
      <c r="U1225" s="859"/>
      <c r="V1225" s="859"/>
      <c r="W1225" s="859"/>
      <c r="X1225" s="859"/>
      <c r="Y1225" s="859"/>
      <c r="Z1225" s="859"/>
      <c r="AA1225" s="859"/>
      <c r="AB1225" s="859"/>
      <c r="AC1225" s="859"/>
      <c r="AD1225" s="859"/>
      <c r="AE1225" s="859"/>
      <c r="AF1225" s="859"/>
    </row>
    <row r="1226" spans="1:32" ht="36">
      <c r="A1226" s="992">
        <f t="shared" si="17"/>
        <v>13</v>
      </c>
      <c r="B1226" s="1010" t="s">
        <v>4752</v>
      </c>
      <c r="C1226" s="995" t="s">
        <v>667</v>
      </c>
      <c r="D1226" s="994" t="s">
        <v>1868</v>
      </c>
      <c r="E1226" s="998">
        <v>1</v>
      </c>
      <c r="F1226" s="994" t="s">
        <v>658</v>
      </c>
      <c r="G1226" s="996">
        <v>0</v>
      </c>
      <c r="H1226" s="997" t="s">
        <v>4753</v>
      </c>
      <c r="I1226" s="997" t="s">
        <v>660</v>
      </c>
      <c r="J1226" s="994" t="s">
        <v>661</v>
      </c>
      <c r="K1226" s="995" t="s">
        <v>662</v>
      </c>
      <c r="Q1226" s="859"/>
      <c r="R1226" s="859"/>
      <c r="S1226" s="859"/>
      <c r="T1226" s="859"/>
      <c r="U1226" s="859"/>
      <c r="V1226" s="859"/>
      <c r="W1226" s="859"/>
      <c r="X1226" s="859"/>
      <c r="Y1226" s="859"/>
      <c r="Z1226" s="859"/>
      <c r="AA1226" s="859"/>
      <c r="AB1226" s="859"/>
      <c r="AC1226" s="859"/>
      <c r="AD1226" s="859"/>
      <c r="AE1226" s="859"/>
      <c r="AF1226" s="859"/>
    </row>
    <row r="1227" spans="1:32" ht="36">
      <c r="A1227" s="992">
        <f t="shared" si="17"/>
        <v>14</v>
      </c>
      <c r="B1227" s="1010" t="s">
        <v>4754</v>
      </c>
      <c r="C1227" s="995" t="s">
        <v>667</v>
      </c>
      <c r="D1227" s="994" t="s">
        <v>1868</v>
      </c>
      <c r="E1227" s="998">
        <v>1</v>
      </c>
      <c r="F1227" s="994" t="s">
        <v>658</v>
      </c>
      <c r="G1227" s="996">
        <v>0</v>
      </c>
      <c r="H1227" s="997" t="s">
        <v>4740</v>
      </c>
      <c r="I1227" s="997" t="s">
        <v>660</v>
      </c>
      <c r="J1227" s="994" t="s">
        <v>661</v>
      </c>
      <c r="K1227" s="995" t="s">
        <v>662</v>
      </c>
      <c r="Q1227" s="859"/>
      <c r="R1227" s="859"/>
      <c r="S1227" s="859"/>
      <c r="T1227" s="859"/>
      <c r="U1227" s="859"/>
      <c r="V1227" s="859"/>
      <c r="W1227" s="859"/>
      <c r="X1227" s="859"/>
      <c r="Y1227" s="859"/>
      <c r="Z1227" s="859"/>
      <c r="AA1227" s="859"/>
      <c r="AB1227" s="859"/>
      <c r="AC1227" s="859"/>
      <c r="AD1227" s="859"/>
      <c r="AE1227" s="859"/>
      <c r="AF1227" s="859"/>
    </row>
    <row r="1228" spans="1:32" ht="36">
      <c r="A1228" s="992">
        <f t="shared" si="17"/>
        <v>15</v>
      </c>
      <c r="B1228" s="1010" t="s">
        <v>4755</v>
      </c>
      <c r="C1228" s="995" t="s">
        <v>667</v>
      </c>
      <c r="D1228" s="994" t="s">
        <v>1868</v>
      </c>
      <c r="E1228" s="998">
        <v>1</v>
      </c>
      <c r="F1228" s="994" t="s">
        <v>658</v>
      </c>
      <c r="G1228" s="996">
        <v>0</v>
      </c>
      <c r="H1228" s="997" t="s">
        <v>4738</v>
      </c>
      <c r="I1228" s="997" t="s">
        <v>660</v>
      </c>
      <c r="J1228" s="994" t="s">
        <v>661</v>
      </c>
      <c r="K1228" s="995" t="s">
        <v>662</v>
      </c>
      <c r="Q1228" s="859"/>
      <c r="R1228" s="859"/>
      <c r="S1228" s="859"/>
      <c r="T1228" s="859"/>
      <c r="U1228" s="859"/>
      <c r="V1228" s="859"/>
      <c r="W1228" s="859"/>
      <c r="X1228" s="859"/>
      <c r="Y1228" s="859"/>
      <c r="Z1228" s="859"/>
      <c r="AA1228" s="859"/>
      <c r="AB1228" s="859"/>
      <c r="AC1228" s="859"/>
      <c r="AD1228" s="859"/>
      <c r="AE1228" s="859"/>
      <c r="AF1228" s="859"/>
    </row>
    <row r="1229" spans="1:32" ht="36">
      <c r="A1229" s="992">
        <f t="shared" si="17"/>
        <v>16</v>
      </c>
      <c r="B1229" s="1010" t="s">
        <v>4756</v>
      </c>
      <c r="C1229" s="995" t="s">
        <v>667</v>
      </c>
      <c r="D1229" s="994" t="s">
        <v>1868</v>
      </c>
      <c r="E1229" s="998">
        <v>1</v>
      </c>
      <c r="F1229" s="994" t="s">
        <v>658</v>
      </c>
      <c r="G1229" s="996">
        <v>0</v>
      </c>
      <c r="H1229" s="997" t="s">
        <v>4753</v>
      </c>
      <c r="I1229" s="997" t="s">
        <v>660</v>
      </c>
      <c r="J1229" s="994" t="s">
        <v>661</v>
      </c>
      <c r="K1229" s="995" t="s">
        <v>662</v>
      </c>
      <c r="Q1229" s="859"/>
      <c r="R1229" s="859"/>
      <c r="S1229" s="859"/>
      <c r="T1229" s="859"/>
      <c r="U1229" s="859"/>
      <c r="V1229" s="859"/>
      <c r="W1229" s="859"/>
      <c r="X1229" s="859"/>
      <c r="Y1229" s="859"/>
      <c r="Z1229" s="859"/>
      <c r="AA1229" s="859"/>
      <c r="AB1229" s="859"/>
      <c r="AC1229" s="859"/>
      <c r="AD1229" s="859"/>
      <c r="AE1229" s="859"/>
      <c r="AF1229" s="859"/>
    </row>
    <row r="1230" spans="1:32" ht="36">
      <c r="A1230" s="992">
        <f t="shared" si="17"/>
        <v>17</v>
      </c>
      <c r="B1230" s="1010" t="s">
        <v>4757</v>
      </c>
      <c r="C1230" s="995" t="s">
        <v>667</v>
      </c>
      <c r="D1230" s="994" t="s">
        <v>1868</v>
      </c>
      <c r="E1230" s="998">
        <v>1</v>
      </c>
      <c r="F1230" s="994" t="s">
        <v>658</v>
      </c>
      <c r="G1230" s="996">
        <v>0</v>
      </c>
      <c r="H1230" s="997" t="s">
        <v>4743</v>
      </c>
      <c r="I1230" s="997" t="s">
        <v>660</v>
      </c>
      <c r="J1230" s="994" t="s">
        <v>661</v>
      </c>
      <c r="K1230" s="995" t="s">
        <v>662</v>
      </c>
    </row>
    <row r="1231" spans="1:32" ht="36">
      <c r="A1231" s="992">
        <f t="shared" si="17"/>
        <v>18</v>
      </c>
      <c r="B1231" s="1010" t="s">
        <v>4758</v>
      </c>
      <c r="C1231" s="995" t="s">
        <v>667</v>
      </c>
      <c r="D1231" s="994" t="s">
        <v>1868</v>
      </c>
      <c r="E1231" s="998">
        <v>1</v>
      </c>
      <c r="F1231" s="994" t="s">
        <v>658</v>
      </c>
      <c r="G1231" s="996">
        <v>0</v>
      </c>
      <c r="H1231" s="997" t="s">
        <v>4747</v>
      </c>
      <c r="I1231" s="997" t="s">
        <v>660</v>
      </c>
      <c r="J1231" s="994" t="s">
        <v>661</v>
      </c>
      <c r="K1231" s="995" t="s">
        <v>662</v>
      </c>
    </row>
    <row r="1232" spans="1:32" ht="63">
      <c r="A1232" s="992">
        <f t="shared" si="17"/>
        <v>19</v>
      </c>
      <c r="B1232" s="1011" t="s">
        <v>4759</v>
      </c>
      <c r="C1232" s="995" t="s">
        <v>667</v>
      </c>
      <c r="D1232" s="994" t="s">
        <v>1868</v>
      </c>
      <c r="E1232" s="998">
        <v>1</v>
      </c>
      <c r="F1232" s="994" t="s">
        <v>658</v>
      </c>
      <c r="G1232" s="996">
        <v>0</v>
      </c>
      <c r="H1232" s="997" t="s">
        <v>4747</v>
      </c>
      <c r="I1232" s="997" t="s">
        <v>660</v>
      </c>
      <c r="J1232" s="994" t="s">
        <v>661</v>
      </c>
      <c r="K1232" s="995" t="s">
        <v>662</v>
      </c>
    </row>
    <row r="1233" spans="1:11" ht="47.25">
      <c r="A1233" s="992">
        <f t="shared" si="17"/>
        <v>20</v>
      </c>
      <c r="B1233" s="1011" t="s">
        <v>2442</v>
      </c>
      <c r="C1233" s="995" t="s">
        <v>667</v>
      </c>
      <c r="D1233" s="994" t="s">
        <v>1868</v>
      </c>
      <c r="E1233" s="998">
        <v>1</v>
      </c>
      <c r="F1233" s="994" t="s">
        <v>658</v>
      </c>
      <c r="G1233" s="996">
        <v>0</v>
      </c>
      <c r="H1233" s="997" t="s">
        <v>4743</v>
      </c>
      <c r="I1233" s="997" t="s">
        <v>660</v>
      </c>
      <c r="J1233" s="994" t="s">
        <v>661</v>
      </c>
      <c r="K1233" s="995" t="s">
        <v>662</v>
      </c>
    </row>
    <row r="1234" spans="1:11" ht="47.25">
      <c r="A1234" s="992">
        <f t="shared" si="17"/>
        <v>21</v>
      </c>
      <c r="B1234" s="1011" t="s">
        <v>2443</v>
      </c>
      <c r="C1234" s="995" t="s">
        <v>667</v>
      </c>
      <c r="D1234" s="994" t="s">
        <v>1868</v>
      </c>
      <c r="E1234" s="998">
        <v>1</v>
      </c>
      <c r="F1234" s="994" t="s">
        <v>658</v>
      </c>
      <c r="G1234" s="996">
        <v>0</v>
      </c>
      <c r="H1234" s="997" t="s">
        <v>4753</v>
      </c>
      <c r="I1234" s="997" t="s">
        <v>660</v>
      </c>
      <c r="J1234" s="994" t="s">
        <v>661</v>
      </c>
      <c r="K1234" s="995" t="s">
        <v>662</v>
      </c>
    </row>
    <row r="1235" spans="1:11" ht="63">
      <c r="A1235" s="992">
        <f t="shared" si="17"/>
        <v>22</v>
      </c>
      <c r="B1235" s="1011" t="s">
        <v>2444</v>
      </c>
      <c r="C1235" s="995" t="s">
        <v>667</v>
      </c>
      <c r="D1235" s="994" t="s">
        <v>1868</v>
      </c>
      <c r="E1235" s="998">
        <v>1</v>
      </c>
      <c r="F1235" s="994" t="s">
        <v>658</v>
      </c>
      <c r="G1235" s="996">
        <v>0</v>
      </c>
      <c r="H1235" s="997" t="s">
        <v>4753</v>
      </c>
      <c r="I1235" s="997" t="s">
        <v>660</v>
      </c>
      <c r="J1235" s="994" t="s">
        <v>661</v>
      </c>
      <c r="K1235" s="995" t="s">
        <v>662</v>
      </c>
    </row>
    <row r="1236" spans="1:11" ht="63">
      <c r="A1236" s="992">
        <f t="shared" si="17"/>
        <v>23</v>
      </c>
      <c r="B1236" s="1011" t="s">
        <v>2445</v>
      </c>
      <c r="C1236" s="995" t="s">
        <v>667</v>
      </c>
      <c r="D1236" s="994" t="s">
        <v>1868</v>
      </c>
      <c r="E1236" s="998">
        <v>1</v>
      </c>
      <c r="F1236" s="994" t="s">
        <v>658</v>
      </c>
      <c r="G1236" s="996">
        <v>0</v>
      </c>
      <c r="H1236" s="997" t="s">
        <v>4753</v>
      </c>
      <c r="I1236" s="997" t="s">
        <v>660</v>
      </c>
      <c r="J1236" s="994" t="s">
        <v>661</v>
      </c>
      <c r="K1236" s="995" t="s">
        <v>662</v>
      </c>
    </row>
    <row r="1237" spans="1:11" ht="63">
      <c r="A1237" s="992">
        <f t="shared" si="17"/>
        <v>24</v>
      </c>
      <c r="B1237" s="1011" t="s">
        <v>2446</v>
      </c>
      <c r="C1237" s="995" t="s">
        <v>667</v>
      </c>
      <c r="D1237" s="994" t="s">
        <v>1868</v>
      </c>
      <c r="E1237" s="998">
        <v>1</v>
      </c>
      <c r="F1237" s="994" t="s">
        <v>658</v>
      </c>
      <c r="G1237" s="996">
        <v>0</v>
      </c>
      <c r="H1237" s="997" t="s">
        <v>4747</v>
      </c>
      <c r="I1237" s="997" t="s">
        <v>660</v>
      </c>
      <c r="J1237" s="994" t="s">
        <v>661</v>
      </c>
      <c r="K1237" s="995" t="s">
        <v>662</v>
      </c>
    </row>
    <row r="1238" spans="1:11" ht="47.25">
      <c r="A1238" s="992">
        <f t="shared" si="17"/>
        <v>25</v>
      </c>
      <c r="B1238" s="1011" t="s">
        <v>2447</v>
      </c>
      <c r="C1238" s="995" t="s">
        <v>667</v>
      </c>
      <c r="D1238" s="994" t="s">
        <v>1868</v>
      </c>
      <c r="E1238" s="998">
        <v>1</v>
      </c>
      <c r="F1238" s="994" t="s">
        <v>658</v>
      </c>
      <c r="G1238" s="996">
        <v>0</v>
      </c>
      <c r="H1238" s="997" t="s">
        <v>4747</v>
      </c>
      <c r="I1238" s="997" t="s">
        <v>660</v>
      </c>
      <c r="J1238" s="994" t="s">
        <v>661</v>
      </c>
      <c r="K1238" s="995" t="s">
        <v>662</v>
      </c>
    </row>
    <row r="1239" spans="1:11" ht="36">
      <c r="A1239" s="992">
        <f t="shared" si="17"/>
        <v>26</v>
      </c>
      <c r="B1239" s="1011" t="s">
        <v>2448</v>
      </c>
      <c r="C1239" s="995" t="s">
        <v>667</v>
      </c>
      <c r="D1239" s="994" t="s">
        <v>1868</v>
      </c>
      <c r="E1239" s="998">
        <v>1</v>
      </c>
      <c r="F1239" s="994" t="s">
        <v>658</v>
      </c>
      <c r="G1239" s="996">
        <v>0</v>
      </c>
      <c r="H1239" s="997" t="s">
        <v>4740</v>
      </c>
      <c r="I1239" s="997" t="s">
        <v>660</v>
      </c>
      <c r="J1239" s="994" t="s">
        <v>661</v>
      </c>
      <c r="K1239" s="995" t="s">
        <v>662</v>
      </c>
    </row>
    <row r="1240" spans="1:11" ht="63">
      <c r="A1240" s="992">
        <f t="shared" si="17"/>
        <v>27</v>
      </c>
      <c r="B1240" s="1011" t="s">
        <v>2449</v>
      </c>
      <c r="C1240" s="995" t="s">
        <v>667</v>
      </c>
      <c r="D1240" s="994" t="s">
        <v>1868</v>
      </c>
      <c r="E1240" s="998">
        <v>1</v>
      </c>
      <c r="F1240" s="994" t="s">
        <v>658</v>
      </c>
      <c r="G1240" s="996">
        <v>0</v>
      </c>
      <c r="H1240" s="997" t="s">
        <v>4743</v>
      </c>
      <c r="I1240" s="997" t="s">
        <v>660</v>
      </c>
      <c r="J1240" s="994" t="s">
        <v>661</v>
      </c>
      <c r="K1240" s="995" t="s">
        <v>662</v>
      </c>
    </row>
    <row r="1241" spans="1:11" ht="47.25">
      <c r="A1241" s="992">
        <f t="shared" si="17"/>
        <v>28</v>
      </c>
      <c r="B1241" s="1011" t="s">
        <v>2450</v>
      </c>
      <c r="C1241" s="995" t="s">
        <v>667</v>
      </c>
      <c r="D1241" s="994" t="s">
        <v>1868</v>
      </c>
      <c r="E1241" s="998">
        <v>1</v>
      </c>
      <c r="F1241" s="994" t="s">
        <v>658</v>
      </c>
      <c r="G1241" s="996">
        <v>0</v>
      </c>
      <c r="H1241" s="997" t="s">
        <v>4743</v>
      </c>
      <c r="I1241" s="997" t="s">
        <v>660</v>
      </c>
      <c r="J1241" s="994" t="s">
        <v>661</v>
      </c>
      <c r="K1241" s="995" t="s">
        <v>662</v>
      </c>
    </row>
    <row r="1242" spans="1:11" ht="36">
      <c r="A1242" s="992">
        <f t="shared" si="17"/>
        <v>29</v>
      </c>
      <c r="B1242" s="1011" t="s">
        <v>2451</v>
      </c>
      <c r="C1242" s="995" t="s">
        <v>667</v>
      </c>
      <c r="D1242" s="994" t="s">
        <v>1868</v>
      </c>
      <c r="E1242" s="998">
        <v>1</v>
      </c>
      <c r="F1242" s="994" t="s">
        <v>658</v>
      </c>
      <c r="G1242" s="996">
        <v>0</v>
      </c>
      <c r="H1242" s="997" t="s">
        <v>4740</v>
      </c>
      <c r="I1242" s="997" t="s">
        <v>660</v>
      </c>
      <c r="J1242" s="994" t="s">
        <v>661</v>
      </c>
      <c r="K1242" s="995" t="s">
        <v>662</v>
      </c>
    </row>
    <row r="1243" spans="1:11" ht="36">
      <c r="A1243" s="992">
        <f t="shared" si="17"/>
        <v>30</v>
      </c>
      <c r="B1243" s="1011" t="s">
        <v>2452</v>
      </c>
      <c r="C1243" s="995" t="s">
        <v>667</v>
      </c>
      <c r="D1243" s="994" t="s">
        <v>1868</v>
      </c>
      <c r="E1243" s="998">
        <v>1</v>
      </c>
      <c r="F1243" s="994" t="s">
        <v>658</v>
      </c>
      <c r="G1243" s="996">
        <v>0</v>
      </c>
      <c r="H1243" s="997" t="s">
        <v>4740</v>
      </c>
      <c r="I1243" s="997" t="s">
        <v>660</v>
      </c>
      <c r="J1243" s="994" t="s">
        <v>661</v>
      </c>
      <c r="K1243" s="995" t="s">
        <v>662</v>
      </c>
    </row>
    <row r="1244" spans="1:11" ht="36">
      <c r="A1244" s="992">
        <f t="shared" si="17"/>
        <v>31</v>
      </c>
      <c r="B1244" s="1011" t="s">
        <v>2453</v>
      </c>
      <c r="C1244" s="995" t="s">
        <v>667</v>
      </c>
      <c r="D1244" s="994" t="s">
        <v>1868</v>
      </c>
      <c r="E1244" s="998">
        <v>1</v>
      </c>
      <c r="F1244" s="994" t="s">
        <v>658</v>
      </c>
      <c r="G1244" s="996">
        <v>0</v>
      </c>
      <c r="H1244" s="997" t="s">
        <v>4740</v>
      </c>
      <c r="I1244" s="997" t="s">
        <v>660</v>
      </c>
      <c r="J1244" s="994" t="s">
        <v>661</v>
      </c>
      <c r="K1244" s="995" t="s">
        <v>662</v>
      </c>
    </row>
    <row r="1245" spans="1:11" ht="36">
      <c r="A1245" s="992">
        <f t="shared" si="17"/>
        <v>32</v>
      </c>
      <c r="B1245" s="1011" t="s">
        <v>2454</v>
      </c>
      <c r="C1245" s="995" t="s">
        <v>667</v>
      </c>
      <c r="D1245" s="994" t="s">
        <v>1868</v>
      </c>
      <c r="E1245" s="998">
        <v>1</v>
      </c>
      <c r="F1245" s="994" t="s">
        <v>658</v>
      </c>
      <c r="G1245" s="996">
        <v>0</v>
      </c>
      <c r="H1245" s="997" t="s">
        <v>4740</v>
      </c>
      <c r="I1245" s="997" t="s">
        <v>660</v>
      </c>
      <c r="J1245" s="994" t="s">
        <v>661</v>
      </c>
      <c r="K1245" s="995" t="s">
        <v>662</v>
      </c>
    </row>
    <row r="1246" spans="1:11" ht="36">
      <c r="A1246" s="992">
        <f t="shared" si="17"/>
        <v>33</v>
      </c>
      <c r="B1246" s="1011" t="s">
        <v>2455</v>
      </c>
      <c r="C1246" s="1012" t="s">
        <v>667</v>
      </c>
      <c r="D1246" s="1013" t="s">
        <v>1868</v>
      </c>
      <c r="E1246" s="1014">
        <v>3</v>
      </c>
      <c r="F1246" s="1013" t="s">
        <v>658</v>
      </c>
      <c r="G1246" s="1015">
        <v>0</v>
      </c>
      <c r="H1246" s="997" t="s">
        <v>4740</v>
      </c>
      <c r="I1246" s="1016" t="s">
        <v>660</v>
      </c>
      <c r="J1246" s="1013" t="s">
        <v>661</v>
      </c>
      <c r="K1246" s="1012" t="s">
        <v>662</v>
      </c>
    </row>
    <row r="1247" spans="1:11" ht="36">
      <c r="A1247" s="992">
        <f t="shared" si="17"/>
        <v>34</v>
      </c>
      <c r="B1247" s="1011" t="s">
        <v>2456</v>
      </c>
      <c r="C1247" s="995" t="s">
        <v>667</v>
      </c>
      <c r="D1247" s="994" t="s">
        <v>1868</v>
      </c>
      <c r="E1247" s="998">
        <v>5</v>
      </c>
      <c r="F1247" s="994" t="s">
        <v>658</v>
      </c>
      <c r="G1247" s="996">
        <v>0</v>
      </c>
      <c r="H1247" s="997" t="s">
        <v>4740</v>
      </c>
      <c r="I1247" s="997" t="s">
        <v>660</v>
      </c>
      <c r="J1247" s="994" t="s">
        <v>661</v>
      </c>
      <c r="K1247" s="995" t="s">
        <v>662</v>
      </c>
    </row>
    <row r="1248" spans="1:11" ht="36">
      <c r="A1248" s="992">
        <f t="shared" si="17"/>
        <v>35</v>
      </c>
      <c r="B1248" s="1017" t="s">
        <v>2457</v>
      </c>
      <c r="C1248" s="995" t="s">
        <v>667</v>
      </c>
      <c r="D1248" s="994" t="s">
        <v>1868</v>
      </c>
      <c r="E1248" s="998">
        <v>1</v>
      </c>
      <c r="F1248" s="994" t="s">
        <v>658</v>
      </c>
      <c r="G1248" s="996">
        <v>0</v>
      </c>
      <c r="H1248" s="997" t="s">
        <v>4740</v>
      </c>
      <c r="I1248" s="997" t="s">
        <v>660</v>
      </c>
      <c r="J1248" s="994" t="s">
        <v>661</v>
      </c>
      <c r="K1248" s="995" t="s">
        <v>662</v>
      </c>
    </row>
    <row r="1249" spans="1:11" ht="47.25">
      <c r="A1249" s="992">
        <f t="shared" si="17"/>
        <v>36</v>
      </c>
      <c r="B1249" s="1017" t="s">
        <v>2458</v>
      </c>
      <c r="C1249" s="995" t="s">
        <v>667</v>
      </c>
      <c r="D1249" s="994" t="s">
        <v>1868</v>
      </c>
      <c r="E1249" s="998">
        <v>4</v>
      </c>
      <c r="F1249" s="994" t="s">
        <v>658</v>
      </c>
      <c r="G1249" s="996">
        <v>0</v>
      </c>
      <c r="H1249" s="997" t="s">
        <v>4740</v>
      </c>
      <c r="I1249" s="997" t="s">
        <v>660</v>
      </c>
      <c r="J1249" s="994" t="s">
        <v>661</v>
      </c>
      <c r="K1249" s="995" t="s">
        <v>662</v>
      </c>
    </row>
    <row r="1250" spans="1:11" ht="36">
      <c r="A1250" s="992">
        <f t="shared" si="17"/>
        <v>37</v>
      </c>
      <c r="B1250" s="1017" t="s">
        <v>2459</v>
      </c>
      <c r="C1250" s="995" t="s">
        <v>667</v>
      </c>
      <c r="D1250" s="994" t="s">
        <v>1868</v>
      </c>
      <c r="E1250" s="998">
        <v>1</v>
      </c>
      <c r="F1250" s="994" t="s">
        <v>658</v>
      </c>
      <c r="G1250" s="996">
        <v>0</v>
      </c>
      <c r="H1250" s="997" t="s">
        <v>4747</v>
      </c>
      <c r="I1250" s="997" t="s">
        <v>660</v>
      </c>
      <c r="J1250" s="994" t="s">
        <v>661</v>
      </c>
      <c r="K1250" s="995" t="s">
        <v>662</v>
      </c>
    </row>
    <row r="1251" spans="1:11" ht="47.25">
      <c r="A1251" s="992">
        <f t="shared" si="17"/>
        <v>38</v>
      </c>
      <c r="B1251" s="1017" t="s">
        <v>2460</v>
      </c>
      <c r="C1251" s="995" t="s">
        <v>667</v>
      </c>
      <c r="D1251" s="994" t="s">
        <v>1868</v>
      </c>
      <c r="E1251" s="998">
        <v>1</v>
      </c>
      <c r="F1251" s="994" t="s">
        <v>658</v>
      </c>
      <c r="G1251" s="996">
        <v>0</v>
      </c>
      <c r="H1251" s="997" t="s">
        <v>4753</v>
      </c>
      <c r="I1251" s="997" t="s">
        <v>660</v>
      </c>
      <c r="J1251" s="994" t="s">
        <v>661</v>
      </c>
      <c r="K1251" s="995" t="s">
        <v>662</v>
      </c>
    </row>
    <row r="1252" spans="1:11" ht="36">
      <c r="A1252" s="992">
        <f t="shared" si="17"/>
        <v>39</v>
      </c>
      <c r="B1252" s="1017" t="s">
        <v>2461</v>
      </c>
      <c r="C1252" s="995" t="s">
        <v>667</v>
      </c>
      <c r="D1252" s="994" t="s">
        <v>1868</v>
      </c>
      <c r="E1252" s="998">
        <v>1</v>
      </c>
      <c r="F1252" s="994" t="s">
        <v>658</v>
      </c>
      <c r="G1252" s="996">
        <v>0</v>
      </c>
      <c r="H1252" s="997" t="s">
        <v>4753</v>
      </c>
      <c r="I1252" s="997" t="s">
        <v>660</v>
      </c>
      <c r="J1252" s="994" t="s">
        <v>661</v>
      </c>
      <c r="K1252" s="995" t="s">
        <v>662</v>
      </c>
    </row>
    <row r="1253" spans="1:11" ht="36">
      <c r="A1253" s="992">
        <f t="shared" si="17"/>
        <v>40</v>
      </c>
      <c r="B1253" s="1017" t="s">
        <v>2462</v>
      </c>
      <c r="C1253" s="995" t="s">
        <v>667</v>
      </c>
      <c r="D1253" s="994" t="s">
        <v>1868</v>
      </c>
      <c r="E1253" s="998">
        <v>1</v>
      </c>
      <c r="F1253" s="994" t="s">
        <v>658</v>
      </c>
      <c r="G1253" s="996">
        <v>0</v>
      </c>
      <c r="H1253" s="997" t="s">
        <v>4753</v>
      </c>
      <c r="I1253" s="997" t="s">
        <v>660</v>
      </c>
      <c r="J1253" s="994" t="s">
        <v>661</v>
      </c>
      <c r="K1253" s="995" t="s">
        <v>662</v>
      </c>
    </row>
    <row r="1254" spans="1:11" ht="63">
      <c r="A1254" s="992">
        <f t="shared" si="17"/>
        <v>41</v>
      </c>
      <c r="B1254" s="1011" t="s">
        <v>2463</v>
      </c>
      <c r="C1254" s="995" t="s">
        <v>667</v>
      </c>
      <c r="D1254" s="994" t="s">
        <v>1868</v>
      </c>
      <c r="E1254" s="998">
        <v>1</v>
      </c>
      <c r="F1254" s="994" t="s">
        <v>658</v>
      </c>
      <c r="G1254" s="996">
        <v>0</v>
      </c>
      <c r="H1254" s="997" t="s">
        <v>4740</v>
      </c>
      <c r="I1254" s="997" t="s">
        <v>660</v>
      </c>
      <c r="J1254" s="994" t="s">
        <v>661</v>
      </c>
      <c r="K1254" s="995" t="s">
        <v>662</v>
      </c>
    </row>
    <row r="1255" spans="1:11" ht="78.75">
      <c r="A1255" s="992">
        <f t="shared" si="17"/>
        <v>42</v>
      </c>
      <c r="B1255" s="1011" t="s">
        <v>2464</v>
      </c>
      <c r="C1255" s="995" t="s">
        <v>667</v>
      </c>
      <c r="D1255" s="994" t="s">
        <v>1868</v>
      </c>
      <c r="E1255" s="998">
        <v>1</v>
      </c>
      <c r="F1255" s="994" t="s">
        <v>658</v>
      </c>
      <c r="G1255" s="996">
        <v>0</v>
      </c>
      <c r="H1255" s="997" t="s">
        <v>4738</v>
      </c>
      <c r="I1255" s="997" t="s">
        <v>660</v>
      </c>
      <c r="J1255" s="994" t="s">
        <v>661</v>
      </c>
      <c r="K1255" s="995" t="s">
        <v>662</v>
      </c>
    </row>
    <row r="1256" spans="1:11" ht="94.5">
      <c r="A1256" s="992">
        <f t="shared" si="17"/>
        <v>43</v>
      </c>
      <c r="B1256" s="1011" t="s">
        <v>2465</v>
      </c>
      <c r="C1256" s="995" t="s">
        <v>667</v>
      </c>
      <c r="D1256" s="994" t="s">
        <v>1868</v>
      </c>
      <c r="E1256" s="998">
        <v>1</v>
      </c>
      <c r="F1256" s="994" t="s">
        <v>658</v>
      </c>
      <c r="G1256" s="996">
        <v>0</v>
      </c>
      <c r="H1256" s="997" t="s">
        <v>4740</v>
      </c>
      <c r="I1256" s="997" t="s">
        <v>660</v>
      </c>
      <c r="J1256" s="994" t="s">
        <v>661</v>
      </c>
      <c r="K1256" s="995" t="s">
        <v>662</v>
      </c>
    </row>
    <row r="1257" spans="1:11" ht="78.75">
      <c r="A1257" s="992">
        <f t="shared" si="17"/>
        <v>44</v>
      </c>
      <c r="B1257" s="1011" t="s">
        <v>2466</v>
      </c>
      <c r="C1257" s="995" t="s">
        <v>667</v>
      </c>
      <c r="D1257" s="994" t="s">
        <v>1868</v>
      </c>
      <c r="E1257" s="998">
        <v>1</v>
      </c>
      <c r="F1257" s="994" t="s">
        <v>658</v>
      </c>
      <c r="G1257" s="996">
        <v>0</v>
      </c>
      <c r="H1257" s="997" t="s">
        <v>4738</v>
      </c>
      <c r="I1257" s="997" t="s">
        <v>660</v>
      </c>
      <c r="J1257" s="994" t="s">
        <v>661</v>
      </c>
      <c r="K1257" s="995" t="s">
        <v>662</v>
      </c>
    </row>
    <row r="1258" spans="1:11" ht="78.75">
      <c r="A1258" s="992">
        <f t="shared" si="17"/>
        <v>45</v>
      </c>
      <c r="B1258" s="1011" t="s">
        <v>2467</v>
      </c>
      <c r="C1258" s="995" t="s">
        <v>667</v>
      </c>
      <c r="D1258" s="994" t="s">
        <v>1868</v>
      </c>
      <c r="E1258" s="998">
        <v>1</v>
      </c>
      <c r="F1258" s="994" t="s">
        <v>658</v>
      </c>
      <c r="G1258" s="996">
        <v>0</v>
      </c>
      <c r="H1258" s="997" t="s">
        <v>4738</v>
      </c>
      <c r="I1258" s="997" t="s">
        <v>660</v>
      </c>
      <c r="J1258" s="994" t="s">
        <v>661</v>
      </c>
      <c r="K1258" s="995" t="s">
        <v>662</v>
      </c>
    </row>
    <row r="1259" spans="1:11" ht="78.75">
      <c r="A1259" s="992">
        <f t="shared" si="17"/>
        <v>46</v>
      </c>
      <c r="B1259" s="1011" t="s">
        <v>2468</v>
      </c>
      <c r="C1259" s="995" t="s">
        <v>667</v>
      </c>
      <c r="D1259" s="994" t="s">
        <v>1868</v>
      </c>
      <c r="E1259" s="998">
        <v>1</v>
      </c>
      <c r="F1259" s="994" t="s">
        <v>658</v>
      </c>
      <c r="G1259" s="996">
        <v>0</v>
      </c>
      <c r="H1259" s="997" t="s">
        <v>4738</v>
      </c>
      <c r="I1259" s="997" t="s">
        <v>660</v>
      </c>
      <c r="J1259" s="994" t="s">
        <v>661</v>
      </c>
      <c r="K1259" s="995" t="s">
        <v>662</v>
      </c>
    </row>
    <row r="1260" spans="1:11" ht="78.75">
      <c r="A1260" s="992">
        <f t="shared" si="17"/>
        <v>47</v>
      </c>
      <c r="B1260" s="1011" t="s">
        <v>2469</v>
      </c>
      <c r="C1260" s="995" t="s">
        <v>667</v>
      </c>
      <c r="D1260" s="994" t="s">
        <v>1868</v>
      </c>
      <c r="E1260" s="998">
        <v>1</v>
      </c>
      <c r="F1260" s="994" t="s">
        <v>658</v>
      </c>
      <c r="G1260" s="996">
        <v>0</v>
      </c>
      <c r="H1260" s="997" t="s">
        <v>4738</v>
      </c>
      <c r="I1260" s="997" t="s">
        <v>660</v>
      </c>
      <c r="J1260" s="994" t="s">
        <v>661</v>
      </c>
      <c r="K1260" s="995" t="s">
        <v>662</v>
      </c>
    </row>
    <row r="1261" spans="1:11" ht="110.25">
      <c r="A1261" s="992">
        <f t="shared" si="17"/>
        <v>48</v>
      </c>
      <c r="B1261" s="1011" t="s">
        <v>2470</v>
      </c>
      <c r="C1261" s="995" t="s">
        <v>667</v>
      </c>
      <c r="D1261" s="994" t="s">
        <v>1868</v>
      </c>
      <c r="E1261" s="998">
        <v>1</v>
      </c>
      <c r="F1261" s="994" t="s">
        <v>658</v>
      </c>
      <c r="G1261" s="996">
        <v>0</v>
      </c>
      <c r="H1261" s="997" t="s">
        <v>666</v>
      </c>
      <c r="I1261" s="997" t="s">
        <v>660</v>
      </c>
      <c r="J1261" s="994" t="s">
        <v>661</v>
      </c>
      <c r="K1261" s="995" t="s">
        <v>662</v>
      </c>
    </row>
    <row r="1262" spans="1:11" ht="110.25">
      <c r="A1262" s="992">
        <f t="shared" si="17"/>
        <v>49</v>
      </c>
      <c r="B1262" s="1011" t="s">
        <v>2471</v>
      </c>
      <c r="C1262" s="995" t="s">
        <v>667</v>
      </c>
      <c r="D1262" s="994" t="s">
        <v>1868</v>
      </c>
      <c r="E1262" s="998">
        <v>1</v>
      </c>
      <c r="F1262" s="994" t="s">
        <v>658</v>
      </c>
      <c r="G1262" s="996">
        <v>0</v>
      </c>
      <c r="H1262" s="997" t="s">
        <v>666</v>
      </c>
      <c r="I1262" s="997" t="s">
        <v>660</v>
      </c>
      <c r="J1262" s="994" t="s">
        <v>661</v>
      </c>
      <c r="K1262" s="995" t="s">
        <v>662</v>
      </c>
    </row>
    <row r="1263" spans="1:11" ht="94.5">
      <c r="A1263" s="992">
        <f t="shared" si="17"/>
        <v>50</v>
      </c>
      <c r="B1263" s="1011" t="s">
        <v>2472</v>
      </c>
      <c r="C1263" s="995" t="s">
        <v>667</v>
      </c>
      <c r="D1263" s="994" t="s">
        <v>1868</v>
      </c>
      <c r="E1263" s="998">
        <v>1</v>
      </c>
      <c r="F1263" s="994" t="s">
        <v>658</v>
      </c>
      <c r="G1263" s="996">
        <v>0</v>
      </c>
      <c r="H1263" s="997" t="s">
        <v>4002</v>
      </c>
      <c r="I1263" s="997" t="s">
        <v>660</v>
      </c>
      <c r="J1263" s="994" t="s">
        <v>661</v>
      </c>
      <c r="K1263" s="995" t="s">
        <v>662</v>
      </c>
    </row>
    <row r="1264" spans="1:11" ht="94.5">
      <c r="A1264" s="992">
        <f t="shared" si="17"/>
        <v>51</v>
      </c>
      <c r="B1264" s="1011" t="s">
        <v>2473</v>
      </c>
      <c r="C1264" s="995" t="s">
        <v>667</v>
      </c>
      <c r="D1264" s="994" t="s">
        <v>1868</v>
      </c>
      <c r="E1264" s="998">
        <v>1</v>
      </c>
      <c r="F1264" s="994" t="s">
        <v>658</v>
      </c>
      <c r="G1264" s="996">
        <v>0</v>
      </c>
      <c r="H1264" s="997" t="s">
        <v>4002</v>
      </c>
      <c r="I1264" s="997" t="s">
        <v>660</v>
      </c>
      <c r="J1264" s="994" t="s">
        <v>661</v>
      </c>
      <c r="K1264" s="995" t="s">
        <v>662</v>
      </c>
    </row>
    <row r="1265" spans="1:11" ht="94.5">
      <c r="A1265" s="992">
        <f t="shared" si="17"/>
        <v>52</v>
      </c>
      <c r="B1265" s="1011" t="s">
        <v>2474</v>
      </c>
      <c r="C1265" s="995" t="s">
        <v>667</v>
      </c>
      <c r="D1265" s="994" t="s">
        <v>1868</v>
      </c>
      <c r="E1265" s="998">
        <v>1</v>
      </c>
      <c r="F1265" s="994" t="s">
        <v>658</v>
      </c>
      <c r="G1265" s="996">
        <v>0</v>
      </c>
      <c r="H1265" s="997" t="s">
        <v>4002</v>
      </c>
      <c r="I1265" s="997" t="s">
        <v>660</v>
      </c>
      <c r="J1265" s="994" t="s">
        <v>661</v>
      </c>
      <c r="K1265" s="995" t="s">
        <v>662</v>
      </c>
    </row>
    <row r="1266" spans="1:11" ht="94.5">
      <c r="A1266" s="992">
        <f t="shared" si="17"/>
        <v>53</v>
      </c>
      <c r="B1266" s="1011" t="s">
        <v>2475</v>
      </c>
      <c r="C1266" s="995" t="s">
        <v>667</v>
      </c>
      <c r="D1266" s="994" t="s">
        <v>1868</v>
      </c>
      <c r="E1266" s="998">
        <v>1</v>
      </c>
      <c r="F1266" s="994" t="s">
        <v>658</v>
      </c>
      <c r="G1266" s="996">
        <v>0</v>
      </c>
      <c r="H1266" s="997" t="s">
        <v>4002</v>
      </c>
      <c r="I1266" s="997" t="s">
        <v>660</v>
      </c>
      <c r="J1266" s="994" t="s">
        <v>661</v>
      </c>
      <c r="K1266" s="995" t="s">
        <v>662</v>
      </c>
    </row>
    <row r="1267" spans="1:11" ht="78.75">
      <c r="A1267" s="992">
        <f t="shared" si="17"/>
        <v>54</v>
      </c>
      <c r="B1267" s="1011" t="s">
        <v>2476</v>
      </c>
      <c r="C1267" s="995" t="s">
        <v>667</v>
      </c>
      <c r="D1267" s="994" t="s">
        <v>1868</v>
      </c>
      <c r="E1267" s="998">
        <v>1</v>
      </c>
      <c r="F1267" s="994" t="s">
        <v>658</v>
      </c>
      <c r="G1267" s="996">
        <v>0</v>
      </c>
      <c r="H1267" s="997" t="s">
        <v>666</v>
      </c>
      <c r="I1267" s="997" t="s">
        <v>660</v>
      </c>
      <c r="J1267" s="994" t="s">
        <v>661</v>
      </c>
      <c r="K1267" s="995" t="s">
        <v>662</v>
      </c>
    </row>
    <row r="1268" spans="1:11" ht="78.75">
      <c r="A1268" s="992">
        <f t="shared" si="17"/>
        <v>55</v>
      </c>
      <c r="B1268" s="1011" t="s">
        <v>2477</v>
      </c>
      <c r="C1268" s="995" t="s">
        <v>667</v>
      </c>
      <c r="D1268" s="994" t="s">
        <v>1868</v>
      </c>
      <c r="E1268" s="998">
        <v>1</v>
      </c>
      <c r="F1268" s="994" t="s">
        <v>658</v>
      </c>
      <c r="G1268" s="996">
        <v>0</v>
      </c>
      <c r="H1268" s="997" t="s">
        <v>666</v>
      </c>
      <c r="I1268" s="997" t="s">
        <v>660</v>
      </c>
      <c r="J1268" s="994" t="s">
        <v>661</v>
      </c>
      <c r="K1268" s="995" t="s">
        <v>662</v>
      </c>
    </row>
    <row r="1269" spans="1:11" ht="36">
      <c r="A1269" s="992">
        <f t="shared" si="17"/>
        <v>56</v>
      </c>
      <c r="B1269" s="1018" t="s">
        <v>2478</v>
      </c>
      <c r="C1269" s="995" t="s">
        <v>4736</v>
      </c>
      <c r="D1269" s="994" t="s">
        <v>4737</v>
      </c>
      <c r="E1269" s="998" t="s">
        <v>2479</v>
      </c>
      <c r="F1269" s="994" t="s">
        <v>658</v>
      </c>
      <c r="G1269" s="996">
        <v>0</v>
      </c>
      <c r="H1269" s="997" t="s">
        <v>664</v>
      </c>
      <c r="I1269" s="997" t="s">
        <v>2480</v>
      </c>
      <c r="J1269" s="994" t="s">
        <v>661</v>
      </c>
      <c r="K1269" s="995" t="s">
        <v>662</v>
      </c>
    </row>
    <row r="1270" spans="1:11" ht="94.5">
      <c r="A1270" s="1019">
        <v>57</v>
      </c>
      <c r="B1270" s="1020" t="s">
        <v>2481</v>
      </c>
      <c r="C1270" s="995" t="s">
        <v>2482</v>
      </c>
      <c r="D1270" s="994" t="s">
        <v>2483</v>
      </c>
      <c r="E1270" s="998">
        <v>1</v>
      </c>
      <c r="F1270" s="994" t="s">
        <v>658</v>
      </c>
      <c r="G1270" s="996">
        <v>0</v>
      </c>
      <c r="H1270" s="997" t="s">
        <v>4743</v>
      </c>
      <c r="I1270" s="997" t="s">
        <v>2480</v>
      </c>
      <c r="J1270" s="994" t="s">
        <v>661</v>
      </c>
      <c r="K1270" s="995" t="s">
        <v>662</v>
      </c>
    </row>
    <row r="1271" spans="1:11" ht="47.25">
      <c r="A1271" s="1019">
        <v>58</v>
      </c>
      <c r="B1271" s="1020" t="s">
        <v>2484</v>
      </c>
      <c r="C1271" s="995" t="s">
        <v>2485</v>
      </c>
      <c r="D1271" s="994" t="s">
        <v>2483</v>
      </c>
      <c r="E1271" s="998">
        <v>1</v>
      </c>
      <c r="F1271" s="994" t="s">
        <v>658</v>
      </c>
      <c r="G1271" s="996">
        <v>0</v>
      </c>
      <c r="H1271" s="997" t="s">
        <v>4743</v>
      </c>
      <c r="I1271" s="997" t="s">
        <v>2480</v>
      </c>
      <c r="J1271" s="994" t="s">
        <v>661</v>
      </c>
      <c r="K1271" s="995" t="s">
        <v>662</v>
      </c>
    </row>
    <row r="1272" spans="1:11" ht="78.75">
      <c r="A1272" s="1019">
        <v>59</v>
      </c>
      <c r="B1272" s="1020" t="s">
        <v>2486</v>
      </c>
      <c r="C1272" s="995" t="s">
        <v>2487</v>
      </c>
      <c r="D1272" s="994" t="s">
        <v>2483</v>
      </c>
      <c r="E1272" s="998">
        <v>1</v>
      </c>
      <c r="F1272" s="994" t="s">
        <v>658</v>
      </c>
      <c r="G1272" s="996">
        <v>0</v>
      </c>
      <c r="H1272" s="997" t="s">
        <v>4743</v>
      </c>
      <c r="I1272" s="997" t="s">
        <v>2480</v>
      </c>
      <c r="J1272" s="994" t="s">
        <v>661</v>
      </c>
      <c r="K1272" s="995" t="s">
        <v>662</v>
      </c>
    </row>
    <row r="1273" spans="1:11" ht="63">
      <c r="A1273" s="1019">
        <v>60</v>
      </c>
      <c r="B1273" s="1020" t="s">
        <v>2488</v>
      </c>
      <c r="C1273" s="995" t="s">
        <v>667</v>
      </c>
      <c r="D1273" s="994" t="s">
        <v>2483</v>
      </c>
      <c r="E1273" s="998">
        <v>1</v>
      </c>
      <c r="F1273" s="994" t="s">
        <v>658</v>
      </c>
      <c r="G1273" s="996">
        <v>0</v>
      </c>
      <c r="H1273" s="997" t="s">
        <v>1869</v>
      </c>
      <c r="I1273" s="997" t="s">
        <v>2480</v>
      </c>
      <c r="J1273" s="994" t="s">
        <v>661</v>
      </c>
      <c r="K1273" s="995" t="s">
        <v>662</v>
      </c>
    </row>
    <row r="1274" spans="1:11" ht="27">
      <c r="A1274" s="1019">
        <v>61</v>
      </c>
      <c r="B1274" s="1020" t="s">
        <v>2489</v>
      </c>
      <c r="C1274" s="995" t="s">
        <v>4736</v>
      </c>
      <c r="D1274" s="994" t="s">
        <v>657</v>
      </c>
      <c r="E1274" s="998">
        <v>4</v>
      </c>
      <c r="F1274" s="994" t="s">
        <v>658</v>
      </c>
      <c r="G1274" s="996">
        <v>0</v>
      </c>
      <c r="H1274" s="997" t="s">
        <v>1869</v>
      </c>
      <c r="I1274" s="997" t="s">
        <v>2480</v>
      </c>
      <c r="J1274" s="994" t="s">
        <v>661</v>
      </c>
      <c r="K1274" s="995" t="s">
        <v>662</v>
      </c>
    </row>
    <row r="1275" spans="1:11" ht="47.25">
      <c r="A1275" s="1019">
        <v>62</v>
      </c>
      <c r="B1275" s="1020" t="s">
        <v>2490</v>
      </c>
      <c r="C1275" s="995" t="s">
        <v>4736</v>
      </c>
      <c r="D1275" s="994" t="s">
        <v>657</v>
      </c>
      <c r="E1275" s="998">
        <v>1</v>
      </c>
      <c r="F1275" s="994" t="s">
        <v>658</v>
      </c>
      <c r="G1275" s="996">
        <v>0</v>
      </c>
      <c r="H1275" s="997" t="s">
        <v>1869</v>
      </c>
      <c r="I1275" s="997" t="s">
        <v>2480</v>
      </c>
      <c r="J1275" s="994" t="s">
        <v>661</v>
      </c>
      <c r="K1275" s="995" t="s">
        <v>662</v>
      </c>
    </row>
    <row r="1276" spans="1:11" ht="47.25">
      <c r="A1276" s="1019">
        <v>63</v>
      </c>
      <c r="B1276" s="1020" t="s">
        <v>2491</v>
      </c>
      <c r="C1276" s="995" t="s">
        <v>4736</v>
      </c>
      <c r="D1276" s="994" t="s">
        <v>657</v>
      </c>
      <c r="E1276" s="998">
        <v>1</v>
      </c>
      <c r="F1276" s="994" t="s">
        <v>658</v>
      </c>
      <c r="G1276" s="996">
        <v>0</v>
      </c>
      <c r="H1276" s="997" t="s">
        <v>659</v>
      </c>
      <c r="I1276" s="997" t="s">
        <v>2480</v>
      </c>
      <c r="J1276" s="994" t="s">
        <v>661</v>
      </c>
      <c r="K1276" s="995" t="s">
        <v>662</v>
      </c>
    </row>
    <row r="1277" spans="1:11" ht="15.75">
      <c r="A1277" s="992"/>
      <c r="B1277" s="1011"/>
      <c r="C1277" s="995"/>
      <c r="D1277" s="994"/>
      <c r="E1277" s="998"/>
      <c r="F1277" s="994"/>
      <c r="G1277" s="996"/>
      <c r="H1277" s="997"/>
      <c r="I1277" s="997"/>
      <c r="J1277" s="994"/>
      <c r="K1277" s="995"/>
    </row>
    <row r="1278" spans="1:11" ht="15.75">
      <c r="A1278" s="992"/>
      <c r="B1278" s="1011"/>
      <c r="C1278" s="995"/>
      <c r="D1278" s="994"/>
      <c r="E1278" s="998"/>
      <c r="F1278" s="994"/>
      <c r="G1278" s="996"/>
      <c r="H1278" s="997"/>
      <c r="I1278" s="997"/>
      <c r="J1278" s="994"/>
      <c r="K1278" s="995"/>
    </row>
    <row r="1279" spans="1:11" ht="15.75">
      <c r="A1279" s="1884" t="s">
        <v>2492</v>
      </c>
      <c r="B1279" s="1885"/>
      <c r="C1279" s="1885"/>
      <c r="D1279" s="1885"/>
      <c r="E1279" s="1885"/>
      <c r="F1279" s="1885"/>
      <c r="G1279" s="1885"/>
      <c r="H1279" s="1885"/>
      <c r="I1279" s="1885"/>
      <c r="J1279" s="1885"/>
      <c r="K1279" s="1885"/>
    </row>
    <row r="1280" spans="1:11" ht="15.75">
      <c r="A1280" s="1884" t="s">
        <v>2492</v>
      </c>
      <c r="B1280" s="1885"/>
      <c r="C1280" s="1885"/>
      <c r="D1280" s="1885"/>
      <c r="E1280" s="1885"/>
      <c r="F1280" s="1885"/>
      <c r="G1280" s="1885"/>
      <c r="H1280" s="1885"/>
      <c r="I1280" s="1885"/>
      <c r="J1280" s="1885"/>
      <c r="K1280" s="1885"/>
    </row>
    <row r="1281" spans="1:11">
      <c r="A1281" s="1884" t="s">
        <v>2493</v>
      </c>
      <c r="B1281" s="1884"/>
      <c r="C1281" s="1884"/>
      <c r="D1281" s="1884"/>
      <c r="E1281" s="1884"/>
      <c r="F1281" s="1884"/>
      <c r="G1281" s="1884"/>
      <c r="H1281" s="1884"/>
      <c r="I1281" s="1884"/>
      <c r="J1281" s="1884"/>
      <c r="K1281" s="1884"/>
    </row>
    <row r="1282" spans="1:11">
      <c r="A1282" s="1005"/>
      <c r="B1282" s="1005"/>
      <c r="C1282" s="1005"/>
      <c r="D1282" s="1005"/>
      <c r="E1282" s="1005"/>
      <c r="F1282" s="1005"/>
      <c r="G1282" s="1005"/>
      <c r="H1282" s="1005"/>
      <c r="I1282" s="1005"/>
      <c r="J1282" s="1005"/>
      <c r="K1282" s="1005"/>
    </row>
    <row r="1283" spans="1:11" ht="16.5">
      <c r="A1283" s="1021" t="s">
        <v>2494</v>
      </c>
      <c r="B1283" s="1021"/>
      <c r="C1283" s="1021"/>
      <c r="D1283" s="1021"/>
      <c r="E1283" s="1021"/>
      <c r="F1283" s="1021"/>
      <c r="G1283" s="1021"/>
      <c r="H1283" s="1021"/>
      <c r="I1283" s="1021"/>
      <c r="J1283" s="1021"/>
      <c r="K1283" s="1021"/>
    </row>
    <row r="1284" spans="1:11" ht="16.5">
      <c r="A1284" s="1871" t="s">
        <v>4727</v>
      </c>
      <c r="B1284" s="1871"/>
      <c r="C1284" s="1871"/>
      <c r="D1284" s="1871"/>
      <c r="E1284" s="1871"/>
      <c r="F1284" s="1871"/>
      <c r="G1284" s="1871"/>
      <c r="H1284" s="1871"/>
      <c r="I1284" s="1871"/>
      <c r="J1284" s="1871"/>
      <c r="K1284" s="1871"/>
    </row>
    <row r="1285" spans="1:11" ht="16.5">
      <c r="A1285" s="1871" t="s">
        <v>2495</v>
      </c>
      <c r="B1285" s="1871"/>
      <c r="C1285" s="1871"/>
      <c r="D1285" s="1871"/>
      <c r="E1285" s="1871"/>
      <c r="F1285" s="1871"/>
      <c r="G1285" s="1871"/>
      <c r="H1285" s="1871"/>
      <c r="I1285" s="1871"/>
      <c r="J1285" s="1871"/>
      <c r="K1285" s="1871"/>
    </row>
    <row r="1286" spans="1:11" ht="15.75">
      <c r="A1286" s="1002"/>
      <c r="B1286" s="1002"/>
      <c r="C1286" s="1002"/>
      <c r="D1286" s="1002"/>
      <c r="E1286" s="1003"/>
      <c r="F1286" s="1004"/>
      <c r="G1286" s="1002"/>
      <c r="H1286" s="1002"/>
      <c r="I1286" s="1002"/>
      <c r="J1286" s="1002"/>
      <c r="K1286" s="1002"/>
    </row>
    <row r="1287" spans="1:11">
      <c r="A1287" s="1005"/>
      <c r="B1287" s="1005"/>
      <c r="C1287" s="1005"/>
      <c r="D1287" s="1005"/>
      <c r="E1287" s="1005"/>
      <c r="F1287" s="1005"/>
      <c r="G1287" s="1005"/>
      <c r="H1287" s="1005"/>
      <c r="I1287" s="1005"/>
      <c r="J1287" s="1005"/>
      <c r="K1287" s="1005"/>
    </row>
    <row r="1288" spans="1:11" ht="15.75">
      <c r="A1288" s="1006"/>
      <c r="B1288" s="1880"/>
      <c r="C1288" s="1880"/>
      <c r="D1288" s="1883" t="s">
        <v>1459</v>
      </c>
      <c r="E1288" s="1883"/>
      <c r="F1288" s="1883"/>
      <c r="G1288" s="1883"/>
      <c r="H1288" s="1883"/>
      <c r="I1288" s="1883"/>
      <c r="J1288" s="1883"/>
      <c r="K1288" s="1883"/>
    </row>
    <row r="1289" spans="1:11" ht="15.75">
      <c r="A1289" s="1006"/>
      <c r="B1289" s="1880"/>
      <c r="C1289" s="1880"/>
      <c r="D1289" s="1879" t="s">
        <v>4729</v>
      </c>
      <c r="E1289" s="1879"/>
      <c r="F1289" s="1879"/>
      <c r="G1289" s="1879"/>
      <c r="H1289" s="1879"/>
      <c r="I1289" s="1879"/>
      <c r="J1289" s="1879"/>
      <c r="K1289" s="1879"/>
    </row>
    <row r="1290" spans="1:11" ht="15.75">
      <c r="A1290" s="1006"/>
      <c r="B1290" s="1880"/>
      <c r="C1290" s="1880"/>
      <c r="D1290" s="1879" t="s">
        <v>4730</v>
      </c>
      <c r="E1290" s="1879"/>
      <c r="F1290" s="1879"/>
      <c r="G1290" s="1879"/>
      <c r="H1290" s="1879"/>
      <c r="I1290" s="1879"/>
      <c r="J1290" s="1879"/>
      <c r="K1290" s="1879"/>
    </row>
    <row r="1291" spans="1:11" ht="15.75">
      <c r="A1291" s="1006"/>
      <c r="B1291" s="1880"/>
      <c r="C1291" s="1880"/>
      <c r="D1291" s="1881" t="s">
        <v>4731</v>
      </c>
      <c r="E1291" s="1882"/>
      <c r="F1291" s="1882"/>
      <c r="G1291" s="1882"/>
      <c r="H1291" s="1882"/>
      <c r="I1291" s="1882"/>
      <c r="J1291" s="1882"/>
      <c r="K1291" s="1882"/>
    </row>
    <row r="1292" spans="1:11" ht="15.75">
      <c r="A1292" s="1006"/>
      <c r="B1292" s="1880"/>
      <c r="C1292" s="1880"/>
      <c r="D1292" s="1879" t="s">
        <v>4732</v>
      </c>
      <c r="E1292" s="1879"/>
      <c r="F1292" s="1879"/>
      <c r="G1292" s="1879"/>
      <c r="H1292" s="1879"/>
      <c r="I1292" s="1879"/>
      <c r="J1292" s="1879"/>
      <c r="K1292" s="1879"/>
    </row>
    <row r="1293" spans="1:11" ht="15.75">
      <c r="A1293" s="1006"/>
      <c r="B1293" s="1880"/>
      <c r="C1293" s="1880"/>
      <c r="D1293" s="1879" t="s">
        <v>4733</v>
      </c>
      <c r="E1293" s="1879"/>
      <c r="F1293" s="1879"/>
      <c r="G1293" s="1879"/>
      <c r="H1293" s="1879"/>
      <c r="I1293" s="1879"/>
      <c r="J1293" s="1879"/>
      <c r="K1293" s="1879"/>
    </row>
    <row r="1294" spans="1:11" ht="15.75">
      <c r="A1294" s="1006"/>
      <c r="B1294" s="1880"/>
      <c r="C1294" s="1880"/>
      <c r="D1294" s="1879" t="s">
        <v>4734</v>
      </c>
      <c r="E1294" s="1879"/>
      <c r="F1294" s="1879"/>
      <c r="G1294" s="1879"/>
      <c r="H1294" s="1879"/>
      <c r="I1294" s="1879"/>
      <c r="J1294" s="1879"/>
      <c r="K1294" s="1879"/>
    </row>
    <row r="1295" spans="1:11">
      <c r="A1295" s="1007"/>
      <c r="B1295" s="1008"/>
      <c r="C1295" s="1008"/>
      <c r="D1295" s="1008"/>
      <c r="E1295" s="1008"/>
      <c r="F1295" s="1008"/>
      <c r="G1295" s="1008"/>
      <c r="H1295" s="1008"/>
      <c r="I1295" s="1008"/>
      <c r="J1295" s="1008"/>
      <c r="K1295" s="1008"/>
    </row>
    <row r="1296" spans="1:11">
      <c r="A1296" s="1872" t="s">
        <v>2185</v>
      </c>
      <c r="B1296" s="1873" t="s">
        <v>2186</v>
      </c>
      <c r="C1296" s="1873"/>
      <c r="D1296" s="1873"/>
      <c r="E1296" s="1873"/>
      <c r="F1296" s="1873"/>
      <c r="G1296" s="1873"/>
      <c r="H1296" s="1873"/>
      <c r="I1296" s="1873"/>
      <c r="J1296" s="1873" t="s">
        <v>2187</v>
      </c>
      <c r="K1296" s="1873" t="s">
        <v>2188</v>
      </c>
    </row>
    <row r="1297" spans="1:11" ht="84">
      <c r="A1297" s="1872"/>
      <c r="B1297" s="1873" t="s">
        <v>2189</v>
      </c>
      <c r="C1297" s="1873" t="s">
        <v>2190</v>
      </c>
      <c r="D1297" s="988" t="s">
        <v>2191</v>
      </c>
      <c r="E1297" s="1873" t="s">
        <v>2192</v>
      </c>
      <c r="F1297" s="988" t="s">
        <v>2193</v>
      </c>
      <c r="G1297" s="1873" t="s">
        <v>2194</v>
      </c>
      <c r="H1297" s="1873" t="s">
        <v>2195</v>
      </c>
      <c r="I1297" s="1873"/>
      <c r="J1297" s="1873"/>
      <c r="K1297" s="1873"/>
    </row>
    <row r="1298" spans="1:11" ht="108">
      <c r="A1298" s="1872"/>
      <c r="B1298" s="1873"/>
      <c r="C1298" s="1873"/>
      <c r="D1298" s="989" t="s">
        <v>2196</v>
      </c>
      <c r="E1298" s="1873"/>
      <c r="F1298" s="989" t="s">
        <v>2196</v>
      </c>
      <c r="G1298" s="1873"/>
      <c r="H1298" s="988" t="s">
        <v>2197</v>
      </c>
      <c r="I1298" s="988" t="s">
        <v>653</v>
      </c>
      <c r="J1298" s="1873"/>
      <c r="K1298" s="988" t="s">
        <v>654</v>
      </c>
    </row>
    <row r="1299" spans="1:11">
      <c r="A1299" s="990" t="s">
        <v>2049</v>
      </c>
      <c r="B1299" s="991">
        <v>2</v>
      </c>
      <c r="C1299" s="991">
        <v>3</v>
      </c>
      <c r="D1299" s="991">
        <v>4</v>
      </c>
      <c r="E1299" s="991">
        <v>5</v>
      </c>
      <c r="F1299" s="991">
        <v>6</v>
      </c>
      <c r="G1299" s="991">
        <v>7</v>
      </c>
      <c r="H1299" s="991">
        <v>8</v>
      </c>
      <c r="I1299" s="991">
        <v>9</v>
      </c>
      <c r="J1299" s="991">
        <v>10</v>
      </c>
      <c r="K1299" s="991">
        <v>11</v>
      </c>
    </row>
    <row r="1300" spans="1:11" ht="27">
      <c r="A1300" s="1019">
        <v>1</v>
      </c>
      <c r="B1300" s="1022" t="s">
        <v>925</v>
      </c>
      <c r="C1300" s="995" t="s">
        <v>4736</v>
      </c>
      <c r="D1300" s="994" t="s">
        <v>1871</v>
      </c>
      <c r="E1300" s="998">
        <v>38</v>
      </c>
      <c r="F1300" s="994" t="s">
        <v>658</v>
      </c>
      <c r="G1300" s="996">
        <v>0</v>
      </c>
      <c r="H1300" s="997" t="s">
        <v>659</v>
      </c>
      <c r="I1300" s="997" t="s">
        <v>2496</v>
      </c>
      <c r="J1300" s="994" t="s">
        <v>661</v>
      </c>
      <c r="K1300" s="995" t="s">
        <v>662</v>
      </c>
    </row>
    <row r="1301" spans="1:11" ht="36">
      <c r="A1301" s="992">
        <v>2</v>
      </c>
      <c r="B1301" s="1023" t="s">
        <v>2497</v>
      </c>
      <c r="C1301" s="995" t="s">
        <v>667</v>
      </c>
      <c r="D1301" s="994" t="s">
        <v>2498</v>
      </c>
      <c r="E1301" s="998">
        <v>1</v>
      </c>
      <c r="F1301" s="994" t="s">
        <v>658</v>
      </c>
      <c r="G1301" s="996">
        <v>0</v>
      </c>
      <c r="H1301" s="997" t="s">
        <v>659</v>
      </c>
      <c r="I1301" s="997" t="s">
        <v>2480</v>
      </c>
      <c r="J1301" s="994" t="s">
        <v>661</v>
      </c>
      <c r="K1301" s="995" t="s">
        <v>662</v>
      </c>
    </row>
    <row r="1303" spans="1:11" ht="16.5">
      <c r="A1303" s="1021" t="s">
        <v>2499</v>
      </c>
      <c r="B1303" s="1021"/>
      <c r="C1303" s="1021"/>
      <c r="D1303" s="1021"/>
      <c r="E1303" s="1021"/>
      <c r="F1303" s="1021"/>
      <c r="G1303" s="1021"/>
      <c r="H1303" s="1021"/>
      <c r="I1303" s="1021"/>
      <c r="J1303" s="1021"/>
      <c r="K1303" s="1021"/>
    </row>
    <row r="1304" spans="1:11" ht="16.5">
      <c r="A1304" s="1021" t="s">
        <v>4727</v>
      </c>
      <c r="B1304" s="1021"/>
      <c r="C1304" s="1021"/>
      <c r="D1304" s="1021"/>
      <c r="E1304" s="1021"/>
      <c r="F1304" s="1021"/>
      <c r="G1304" s="1021"/>
      <c r="H1304" s="1021"/>
      <c r="I1304" s="1021"/>
      <c r="J1304" s="1021"/>
      <c r="K1304" s="1021"/>
    </row>
    <row r="1305" spans="1:11" ht="16.5">
      <c r="A1305" s="1021" t="s">
        <v>2495</v>
      </c>
      <c r="B1305" s="1021"/>
      <c r="C1305" s="1021"/>
      <c r="D1305" s="1021"/>
      <c r="E1305" s="1021"/>
      <c r="F1305" s="1021"/>
      <c r="G1305" s="1021"/>
      <c r="H1305" s="1021"/>
      <c r="I1305" s="1021"/>
      <c r="J1305" s="1021"/>
      <c r="K1305" s="1021"/>
    </row>
    <row r="1306" spans="1:11" ht="15.75">
      <c r="A1306" s="1002"/>
      <c r="B1306" s="1002"/>
      <c r="C1306" s="1002"/>
      <c r="D1306" s="1002"/>
      <c r="E1306" s="1003"/>
      <c r="F1306" s="1004"/>
      <c r="G1306" s="1002"/>
      <c r="H1306" s="1002"/>
      <c r="I1306" s="1002"/>
      <c r="J1306" s="1002"/>
      <c r="K1306" s="1002"/>
    </row>
    <row r="1307" spans="1:11">
      <c r="A1307" s="1005"/>
      <c r="B1307" s="1005"/>
      <c r="C1307" s="1005"/>
      <c r="D1307" s="1005"/>
      <c r="E1307" s="1005"/>
      <c r="F1307" s="1005"/>
      <c r="G1307" s="1005"/>
      <c r="H1307" s="1005"/>
      <c r="I1307" s="1005"/>
      <c r="J1307" s="1005"/>
      <c r="K1307" s="1005"/>
    </row>
    <row r="1308" spans="1:11" ht="15.75">
      <c r="A1308" s="1006"/>
      <c r="B1308" s="1880"/>
      <c r="C1308" s="1880"/>
      <c r="D1308" s="1883" t="s">
        <v>1459</v>
      </c>
      <c r="E1308" s="1883"/>
      <c r="F1308" s="1883"/>
      <c r="G1308" s="1883"/>
      <c r="H1308" s="1883"/>
      <c r="I1308" s="1883"/>
      <c r="J1308" s="1883"/>
      <c r="K1308" s="1883"/>
    </row>
    <row r="1309" spans="1:11" ht="15.75">
      <c r="A1309" s="1006"/>
      <c r="B1309" s="1880"/>
      <c r="C1309" s="1880"/>
      <c r="D1309" s="1879" t="s">
        <v>4729</v>
      </c>
      <c r="E1309" s="1879"/>
      <c r="F1309" s="1879"/>
      <c r="G1309" s="1879"/>
      <c r="H1309" s="1879"/>
      <c r="I1309" s="1879"/>
      <c r="J1309" s="1879"/>
      <c r="K1309" s="1879"/>
    </row>
    <row r="1310" spans="1:11" ht="15.75">
      <c r="A1310" s="1006"/>
      <c r="B1310" s="1880"/>
      <c r="C1310" s="1880"/>
      <c r="D1310" s="1879" t="s">
        <v>4730</v>
      </c>
      <c r="E1310" s="1879"/>
      <c r="F1310" s="1879"/>
      <c r="G1310" s="1879"/>
      <c r="H1310" s="1879"/>
      <c r="I1310" s="1879"/>
      <c r="J1310" s="1879"/>
      <c r="K1310" s="1879"/>
    </row>
    <row r="1311" spans="1:11" ht="15.75">
      <c r="A1311" s="1006"/>
      <c r="B1311" s="1880"/>
      <c r="C1311" s="1880"/>
      <c r="D1311" s="1881" t="s">
        <v>4731</v>
      </c>
      <c r="E1311" s="1882"/>
      <c r="F1311" s="1882"/>
      <c r="G1311" s="1882"/>
      <c r="H1311" s="1882"/>
      <c r="I1311" s="1882"/>
      <c r="J1311" s="1882"/>
      <c r="K1311" s="1882"/>
    </row>
    <row r="1312" spans="1:11" ht="15.75">
      <c r="A1312" s="1006"/>
      <c r="B1312" s="1880"/>
      <c r="C1312" s="1880"/>
      <c r="D1312" s="1879" t="s">
        <v>4732</v>
      </c>
      <c r="E1312" s="1879"/>
      <c r="F1312" s="1879"/>
      <c r="G1312" s="1879"/>
      <c r="H1312" s="1879"/>
      <c r="I1312" s="1879"/>
      <c r="J1312" s="1879"/>
      <c r="K1312" s="1879"/>
    </row>
    <row r="1313" spans="1:11" ht="15.75">
      <c r="A1313" s="1006"/>
      <c r="B1313" s="1880"/>
      <c r="C1313" s="1880"/>
      <c r="D1313" s="1879" t="s">
        <v>4733</v>
      </c>
      <c r="E1313" s="1879"/>
      <c r="F1313" s="1879"/>
      <c r="G1313" s="1879"/>
      <c r="H1313" s="1879"/>
      <c r="I1313" s="1879"/>
      <c r="J1313" s="1879"/>
      <c r="K1313" s="1879"/>
    </row>
    <row r="1314" spans="1:11" ht="15.75">
      <c r="A1314" s="1006"/>
      <c r="B1314" s="1880"/>
      <c r="C1314" s="1880"/>
      <c r="D1314" s="1879" t="s">
        <v>4734</v>
      </c>
      <c r="E1314" s="1879"/>
      <c r="F1314" s="1879"/>
      <c r="G1314" s="1879"/>
      <c r="H1314" s="1879"/>
      <c r="I1314" s="1879"/>
      <c r="J1314" s="1879"/>
      <c r="K1314" s="1879"/>
    </row>
    <row r="1315" spans="1:11">
      <c r="A1315" s="1007"/>
      <c r="B1315" s="1008"/>
      <c r="C1315" s="1008"/>
      <c r="D1315" s="1008"/>
      <c r="E1315" s="1008"/>
      <c r="F1315" s="1008"/>
      <c r="G1315" s="1008"/>
      <c r="H1315" s="1008"/>
      <c r="I1315" s="1008"/>
      <c r="J1315" s="1008"/>
      <c r="K1315" s="1008"/>
    </row>
    <row r="1316" spans="1:11">
      <c r="A1316" s="1872" t="s">
        <v>2185</v>
      </c>
      <c r="B1316" s="1873" t="s">
        <v>2186</v>
      </c>
      <c r="C1316" s="1873"/>
      <c r="D1316" s="1873"/>
      <c r="E1316" s="1873"/>
      <c r="F1316" s="1873"/>
      <c r="G1316" s="1873"/>
      <c r="H1316" s="1873"/>
      <c r="I1316" s="1873"/>
      <c r="J1316" s="1873" t="s">
        <v>2187</v>
      </c>
      <c r="K1316" s="1873" t="s">
        <v>2188</v>
      </c>
    </row>
    <row r="1317" spans="1:11" ht="84">
      <c r="A1317" s="1872"/>
      <c r="B1317" s="1873" t="s">
        <v>2189</v>
      </c>
      <c r="C1317" s="1873" t="s">
        <v>2190</v>
      </c>
      <c r="D1317" s="988" t="s">
        <v>2191</v>
      </c>
      <c r="E1317" s="1873" t="s">
        <v>2192</v>
      </c>
      <c r="F1317" s="988" t="s">
        <v>2193</v>
      </c>
      <c r="G1317" s="1873" t="s">
        <v>2194</v>
      </c>
      <c r="H1317" s="1873" t="s">
        <v>2195</v>
      </c>
      <c r="I1317" s="1873"/>
      <c r="J1317" s="1873"/>
      <c r="K1317" s="1873"/>
    </row>
    <row r="1318" spans="1:11" ht="108">
      <c r="A1318" s="1872"/>
      <c r="B1318" s="1873"/>
      <c r="C1318" s="1873"/>
      <c r="D1318" s="989" t="s">
        <v>2196</v>
      </c>
      <c r="E1318" s="1873"/>
      <c r="F1318" s="989" t="s">
        <v>2196</v>
      </c>
      <c r="G1318" s="1873"/>
      <c r="H1318" s="988" t="s">
        <v>2197</v>
      </c>
      <c r="I1318" s="988" t="s">
        <v>653</v>
      </c>
      <c r="J1318" s="1873"/>
      <c r="K1318" s="988" t="s">
        <v>654</v>
      </c>
    </row>
    <row r="1319" spans="1:11">
      <c r="A1319" s="990" t="s">
        <v>2049</v>
      </c>
      <c r="B1319" s="991">
        <v>2</v>
      </c>
      <c r="C1319" s="991">
        <v>3</v>
      </c>
      <c r="D1319" s="991">
        <v>4</v>
      </c>
      <c r="E1319" s="991">
        <v>5</v>
      </c>
      <c r="F1319" s="991">
        <v>6</v>
      </c>
      <c r="G1319" s="991">
        <v>7</v>
      </c>
      <c r="H1319" s="991">
        <v>8</v>
      </c>
      <c r="I1319" s="991">
        <v>9</v>
      </c>
      <c r="J1319" s="991">
        <v>10</v>
      </c>
      <c r="K1319" s="991">
        <v>11</v>
      </c>
    </row>
    <row r="1320" spans="1:11" ht="45">
      <c r="A1320" s="992">
        <v>1</v>
      </c>
      <c r="B1320" s="1022" t="s">
        <v>4059</v>
      </c>
      <c r="C1320" s="995" t="s">
        <v>656</v>
      </c>
      <c r="D1320" s="994" t="s">
        <v>657</v>
      </c>
      <c r="E1320" s="995">
        <v>5</v>
      </c>
      <c r="F1320" s="994" t="s">
        <v>658</v>
      </c>
      <c r="G1320" s="996">
        <v>0</v>
      </c>
      <c r="H1320" s="997" t="s">
        <v>2500</v>
      </c>
      <c r="I1320" s="997" t="s">
        <v>2501</v>
      </c>
      <c r="J1320" s="994" t="s">
        <v>661</v>
      </c>
      <c r="K1320" s="995" t="s">
        <v>662</v>
      </c>
    </row>
    <row r="1321" spans="1:11" ht="45">
      <c r="A1321" s="992">
        <f t="shared" ref="A1321:A1335" si="18">A1320+1</f>
        <v>2</v>
      </c>
      <c r="B1321" s="1022" t="s">
        <v>4062</v>
      </c>
      <c r="C1321" s="995" t="s">
        <v>656</v>
      </c>
      <c r="D1321" s="994" t="s">
        <v>657</v>
      </c>
      <c r="E1321" s="995">
        <v>5</v>
      </c>
      <c r="F1321" s="994" t="s">
        <v>658</v>
      </c>
      <c r="G1321" s="996">
        <v>0</v>
      </c>
      <c r="H1321" s="997" t="s">
        <v>2502</v>
      </c>
      <c r="I1321" s="997" t="s">
        <v>2501</v>
      </c>
      <c r="J1321" s="994" t="s">
        <v>661</v>
      </c>
      <c r="K1321" s="995" t="s">
        <v>662</v>
      </c>
    </row>
    <row r="1322" spans="1:11" ht="30">
      <c r="A1322" s="992">
        <f t="shared" si="18"/>
        <v>3</v>
      </c>
      <c r="B1322" s="1022" t="s">
        <v>4092</v>
      </c>
      <c r="C1322" s="995" t="s">
        <v>656</v>
      </c>
      <c r="D1322" s="994" t="s">
        <v>657</v>
      </c>
      <c r="E1322" s="995">
        <v>2</v>
      </c>
      <c r="F1322" s="994" t="s">
        <v>658</v>
      </c>
      <c r="G1322" s="996">
        <v>0</v>
      </c>
      <c r="H1322" s="997" t="s">
        <v>2502</v>
      </c>
      <c r="I1322" s="997" t="s">
        <v>2501</v>
      </c>
      <c r="J1322" s="994" t="s">
        <v>661</v>
      </c>
      <c r="K1322" s="995" t="s">
        <v>662</v>
      </c>
    </row>
    <row r="1323" spans="1:11" ht="27">
      <c r="A1323" s="992">
        <f t="shared" si="18"/>
        <v>4</v>
      </c>
      <c r="B1323" s="1022" t="s">
        <v>925</v>
      </c>
      <c r="C1323" s="995" t="s">
        <v>656</v>
      </c>
      <c r="D1323" s="994" t="s">
        <v>2503</v>
      </c>
      <c r="E1323" s="995">
        <v>38</v>
      </c>
      <c r="F1323" s="994" t="s">
        <v>658</v>
      </c>
      <c r="G1323" s="996">
        <v>0</v>
      </c>
      <c r="H1323" s="997" t="s">
        <v>2504</v>
      </c>
      <c r="I1323" s="997" t="s">
        <v>2501</v>
      </c>
      <c r="J1323" s="994" t="s">
        <v>661</v>
      </c>
      <c r="K1323" s="995" t="s">
        <v>662</v>
      </c>
    </row>
    <row r="1324" spans="1:11" ht="27">
      <c r="A1324" s="992">
        <f t="shared" si="18"/>
        <v>5</v>
      </c>
      <c r="B1324" s="1024" t="s">
        <v>928</v>
      </c>
      <c r="C1324" s="995" t="s">
        <v>656</v>
      </c>
      <c r="D1324" s="994" t="s">
        <v>2503</v>
      </c>
      <c r="E1324" s="998">
        <v>38</v>
      </c>
      <c r="F1324" s="994" t="s">
        <v>658</v>
      </c>
      <c r="G1324" s="996">
        <v>0</v>
      </c>
      <c r="H1324" s="997" t="s">
        <v>2504</v>
      </c>
      <c r="I1324" s="997" t="s">
        <v>2501</v>
      </c>
      <c r="J1324" s="994" t="s">
        <v>661</v>
      </c>
      <c r="K1324" s="995" t="s">
        <v>662</v>
      </c>
    </row>
    <row r="1325" spans="1:11" ht="27">
      <c r="A1325" s="992">
        <v>6</v>
      </c>
      <c r="B1325" s="1024" t="s">
        <v>2505</v>
      </c>
      <c r="C1325" s="995" t="s">
        <v>656</v>
      </c>
      <c r="D1325" s="994" t="s">
        <v>4737</v>
      </c>
      <c r="E1325" s="998">
        <v>169</v>
      </c>
      <c r="F1325" s="994" t="s">
        <v>658</v>
      </c>
      <c r="G1325" s="996">
        <v>0</v>
      </c>
      <c r="H1325" s="997" t="s">
        <v>2504</v>
      </c>
      <c r="I1325" s="997" t="s">
        <v>2501</v>
      </c>
      <c r="J1325" s="994" t="s">
        <v>661</v>
      </c>
      <c r="K1325" s="995" t="s">
        <v>662</v>
      </c>
    </row>
    <row r="1326" spans="1:11" ht="27">
      <c r="A1326" s="992">
        <f t="shared" si="18"/>
        <v>7</v>
      </c>
      <c r="B1326" s="1024" t="s">
        <v>2506</v>
      </c>
      <c r="C1326" s="995" t="s">
        <v>656</v>
      </c>
      <c r="D1326" s="994" t="s">
        <v>4737</v>
      </c>
      <c r="E1326" s="998">
        <v>9.1</v>
      </c>
      <c r="F1326" s="994" t="s">
        <v>658</v>
      </c>
      <c r="G1326" s="996">
        <v>0</v>
      </c>
      <c r="H1326" s="997" t="s">
        <v>2504</v>
      </c>
      <c r="I1326" s="997" t="s">
        <v>2501</v>
      </c>
      <c r="J1326" s="994" t="s">
        <v>661</v>
      </c>
      <c r="K1326" s="995" t="s">
        <v>662</v>
      </c>
    </row>
    <row r="1327" spans="1:11" ht="45">
      <c r="A1327" s="992">
        <f t="shared" si="18"/>
        <v>8</v>
      </c>
      <c r="B1327" s="1025" t="s">
        <v>2507</v>
      </c>
      <c r="C1327" s="995" t="s">
        <v>667</v>
      </c>
      <c r="D1327" s="994" t="s">
        <v>2483</v>
      </c>
      <c r="E1327" s="998">
        <v>1</v>
      </c>
      <c r="F1327" s="994" t="s">
        <v>658</v>
      </c>
      <c r="G1327" s="996">
        <v>0</v>
      </c>
      <c r="H1327" s="997" t="s">
        <v>4747</v>
      </c>
      <c r="I1327" s="997" t="s">
        <v>2501</v>
      </c>
      <c r="J1327" s="994" t="s">
        <v>661</v>
      </c>
      <c r="K1327" s="995" t="s">
        <v>662</v>
      </c>
    </row>
    <row r="1328" spans="1:11" ht="36">
      <c r="A1328" s="992">
        <f t="shared" si="18"/>
        <v>9</v>
      </c>
      <c r="B1328" s="1025" t="s">
        <v>2508</v>
      </c>
      <c r="C1328" s="995" t="s">
        <v>667</v>
      </c>
      <c r="D1328" s="994" t="s">
        <v>2483</v>
      </c>
      <c r="E1328" s="998">
        <v>1</v>
      </c>
      <c r="F1328" s="994" t="s">
        <v>658</v>
      </c>
      <c r="G1328" s="996">
        <v>0</v>
      </c>
      <c r="H1328" s="997" t="s">
        <v>4747</v>
      </c>
      <c r="I1328" s="997" t="s">
        <v>2501</v>
      </c>
      <c r="J1328" s="994" t="s">
        <v>661</v>
      </c>
      <c r="K1328" s="995" t="s">
        <v>662</v>
      </c>
    </row>
    <row r="1329" spans="1:11" ht="36">
      <c r="A1329" s="992">
        <f t="shared" si="18"/>
        <v>10</v>
      </c>
      <c r="B1329" s="1025" t="s">
        <v>2509</v>
      </c>
      <c r="C1329" s="995" t="s">
        <v>667</v>
      </c>
      <c r="D1329" s="994" t="s">
        <v>2483</v>
      </c>
      <c r="E1329" s="998">
        <v>1</v>
      </c>
      <c r="F1329" s="994" t="s">
        <v>658</v>
      </c>
      <c r="G1329" s="996">
        <v>0</v>
      </c>
      <c r="H1329" s="997" t="s">
        <v>4747</v>
      </c>
      <c r="I1329" s="997" t="s">
        <v>2501</v>
      </c>
      <c r="J1329" s="994" t="s">
        <v>661</v>
      </c>
      <c r="K1329" s="995" t="s">
        <v>662</v>
      </c>
    </row>
    <row r="1330" spans="1:11" ht="105">
      <c r="A1330" s="992">
        <f t="shared" si="18"/>
        <v>11</v>
      </c>
      <c r="B1330" s="1025" t="s">
        <v>2510</v>
      </c>
      <c r="C1330" s="995" t="s">
        <v>667</v>
      </c>
      <c r="D1330" s="994" t="s">
        <v>2483</v>
      </c>
      <c r="E1330" s="998">
        <v>1</v>
      </c>
      <c r="F1330" s="994" t="s">
        <v>658</v>
      </c>
      <c r="G1330" s="996">
        <v>0</v>
      </c>
      <c r="H1330" s="997" t="s">
        <v>4747</v>
      </c>
      <c r="I1330" s="997" t="s">
        <v>2501</v>
      </c>
      <c r="J1330" s="994" t="s">
        <v>661</v>
      </c>
      <c r="K1330" s="995" t="s">
        <v>662</v>
      </c>
    </row>
    <row r="1331" spans="1:11" ht="105">
      <c r="A1331" s="992">
        <f t="shared" si="18"/>
        <v>12</v>
      </c>
      <c r="B1331" s="1025" t="s">
        <v>3017</v>
      </c>
      <c r="C1331" s="995" t="s">
        <v>667</v>
      </c>
      <c r="D1331" s="994" t="s">
        <v>2483</v>
      </c>
      <c r="E1331" s="998">
        <v>1</v>
      </c>
      <c r="F1331" s="994" t="s">
        <v>658</v>
      </c>
      <c r="G1331" s="996">
        <v>0</v>
      </c>
      <c r="H1331" s="997" t="s">
        <v>4747</v>
      </c>
      <c r="I1331" s="997" t="s">
        <v>2501</v>
      </c>
      <c r="J1331" s="994" t="s">
        <v>661</v>
      </c>
      <c r="K1331" s="995" t="s">
        <v>662</v>
      </c>
    </row>
    <row r="1332" spans="1:11" ht="36">
      <c r="A1332" s="992">
        <f t="shared" si="18"/>
        <v>13</v>
      </c>
      <c r="B1332" s="1025" t="s">
        <v>3018</v>
      </c>
      <c r="C1332" s="995" t="s">
        <v>667</v>
      </c>
      <c r="D1332" s="994" t="s">
        <v>2483</v>
      </c>
      <c r="E1332" s="998">
        <v>1</v>
      </c>
      <c r="F1332" s="994" t="s">
        <v>658</v>
      </c>
      <c r="G1332" s="996">
        <v>0</v>
      </c>
      <c r="H1332" s="997" t="s">
        <v>4753</v>
      </c>
      <c r="I1332" s="997" t="s">
        <v>2501</v>
      </c>
      <c r="J1332" s="994" t="s">
        <v>661</v>
      </c>
      <c r="K1332" s="995" t="s">
        <v>662</v>
      </c>
    </row>
    <row r="1333" spans="1:11" ht="45">
      <c r="A1333" s="992">
        <f t="shared" si="18"/>
        <v>14</v>
      </c>
      <c r="B1333" s="1025" t="s">
        <v>3019</v>
      </c>
      <c r="C1333" s="995" t="s">
        <v>667</v>
      </c>
      <c r="D1333" s="994" t="s">
        <v>2483</v>
      </c>
      <c r="E1333" s="998">
        <v>1</v>
      </c>
      <c r="F1333" s="994" t="s">
        <v>658</v>
      </c>
      <c r="G1333" s="996">
        <v>0</v>
      </c>
      <c r="H1333" s="997" t="s">
        <v>4743</v>
      </c>
      <c r="I1333" s="997" t="s">
        <v>2501</v>
      </c>
      <c r="J1333" s="994" t="s">
        <v>661</v>
      </c>
      <c r="K1333" s="995" t="s">
        <v>662</v>
      </c>
    </row>
    <row r="1334" spans="1:11" ht="45">
      <c r="A1334" s="992">
        <f t="shared" si="18"/>
        <v>15</v>
      </c>
      <c r="B1334" s="1025" t="s">
        <v>3020</v>
      </c>
      <c r="C1334" s="995" t="s">
        <v>667</v>
      </c>
      <c r="D1334" s="994" t="s">
        <v>2483</v>
      </c>
      <c r="E1334" s="998">
        <v>1</v>
      </c>
      <c r="F1334" s="994" t="s">
        <v>658</v>
      </c>
      <c r="G1334" s="996">
        <v>0</v>
      </c>
      <c r="H1334" s="997" t="s">
        <v>4743</v>
      </c>
      <c r="I1334" s="997" t="s">
        <v>2501</v>
      </c>
      <c r="J1334" s="994" t="s">
        <v>661</v>
      </c>
      <c r="K1334" s="995" t="s">
        <v>662</v>
      </c>
    </row>
    <row r="1335" spans="1:11" ht="45">
      <c r="A1335" s="992">
        <f t="shared" si="18"/>
        <v>16</v>
      </c>
      <c r="B1335" s="1025" t="s">
        <v>3021</v>
      </c>
      <c r="C1335" s="995" t="s">
        <v>667</v>
      </c>
      <c r="D1335" s="994" t="s">
        <v>2483</v>
      </c>
      <c r="E1335" s="998">
        <v>1</v>
      </c>
      <c r="F1335" s="994" t="s">
        <v>658</v>
      </c>
      <c r="G1335" s="996">
        <v>0</v>
      </c>
      <c r="H1335" s="997" t="s">
        <v>4743</v>
      </c>
      <c r="I1335" s="997" t="s">
        <v>2501</v>
      </c>
      <c r="J1335" s="994" t="s">
        <v>661</v>
      </c>
      <c r="K1335" s="995" t="s">
        <v>662</v>
      </c>
    </row>
    <row r="1336" spans="1:11" ht="36">
      <c r="A1336" s="992">
        <v>17</v>
      </c>
      <c r="B1336" s="1025" t="s">
        <v>3022</v>
      </c>
      <c r="C1336" s="995" t="s">
        <v>667</v>
      </c>
      <c r="D1336" s="994" t="s">
        <v>2483</v>
      </c>
      <c r="E1336" s="998">
        <v>1</v>
      </c>
      <c r="F1336" s="994" t="s">
        <v>658</v>
      </c>
      <c r="G1336" s="996">
        <v>0</v>
      </c>
      <c r="H1336" s="997" t="s">
        <v>1869</v>
      </c>
      <c r="I1336" s="997" t="s">
        <v>2501</v>
      </c>
      <c r="J1336" s="994" t="s">
        <v>661</v>
      </c>
      <c r="K1336" s="995" t="s">
        <v>662</v>
      </c>
    </row>
    <row r="1337" spans="1:11" ht="45">
      <c r="A1337" s="992">
        <v>18</v>
      </c>
      <c r="B1337" s="1025" t="s">
        <v>3023</v>
      </c>
      <c r="C1337" s="995" t="s">
        <v>667</v>
      </c>
      <c r="D1337" s="994" t="s">
        <v>2483</v>
      </c>
      <c r="E1337" s="998">
        <v>1</v>
      </c>
      <c r="F1337" s="994" t="s">
        <v>658</v>
      </c>
      <c r="G1337" s="996">
        <v>0</v>
      </c>
      <c r="H1337" s="997" t="s">
        <v>4743</v>
      </c>
      <c r="I1337" s="997" t="s">
        <v>2501</v>
      </c>
      <c r="J1337" s="994" t="s">
        <v>661</v>
      </c>
      <c r="K1337" s="995" t="s">
        <v>662</v>
      </c>
    </row>
    <row r="1338" spans="1:11" ht="36">
      <c r="A1338" s="992">
        <v>19</v>
      </c>
      <c r="B1338" s="1026" t="s">
        <v>3024</v>
      </c>
      <c r="C1338" s="995" t="s">
        <v>667</v>
      </c>
      <c r="D1338" s="994" t="s">
        <v>2483</v>
      </c>
      <c r="E1338" s="998">
        <v>1</v>
      </c>
      <c r="F1338" s="994" t="s">
        <v>658</v>
      </c>
      <c r="G1338" s="996">
        <v>0</v>
      </c>
      <c r="H1338" s="997" t="s">
        <v>4740</v>
      </c>
      <c r="I1338" s="997" t="s">
        <v>2501</v>
      </c>
      <c r="J1338" s="994" t="s">
        <v>661</v>
      </c>
      <c r="K1338" s="995" t="s">
        <v>662</v>
      </c>
    </row>
    <row r="1339" spans="1:11" ht="36">
      <c r="A1339" s="992">
        <v>20</v>
      </c>
      <c r="B1339" s="1026" t="s">
        <v>3025</v>
      </c>
      <c r="C1339" s="995" t="s">
        <v>667</v>
      </c>
      <c r="D1339" s="994" t="s">
        <v>2483</v>
      </c>
      <c r="E1339" s="998">
        <v>1</v>
      </c>
      <c r="F1339" s="994" t="s">
        <v>658</v>
      </c>
      <c r="G1339" s="996">
        <v>0</v>
      </c>
      <c r="H1339" s="997" t="s">
        <v>4740</v>
      </c>
      <c r="I1339" s="997" t="s">
        <v>2501</v>
      </c>
      <c r="J1339" s="994" t="s">
        <v>661</v>
      </c>
      <c r="K1339" s="995" t="s">
        <v>662</v>
      </c>
    </row>
    <row r="1340" spans="1:11" ht="36">
      <c r="A1340" s="992">
        <v>21</v>
      </c>
      <c r="B1340" s="1026" t="s">
        <v>1275</v>
      </c>
      <c r="C1340" s="995" t="s">
        <v>667</v>
      </c>
      <c r="D1340" s="994" t="s">
        <v>2483</v>
      </c>
      <c r="E1340" s="998">
        <v>1</v>
      </c>
      <c r="F1340" s="994" t="s">
        <v>658</v>
      </c>
      <c r="G1340" s="996">
        <v>0</v>
      </c>
      <c r="H1340" s="997" t="s">
        <v>4740</v>
      </c>
      <c r="I1340" s="997" t="s">
        <v>2501</v>
      </c>
      <c r="J1340" s="994" t="s">
        <v>661</v>
      </c>
      <c r="K1340" s="995" t="s">
        <v>662</v>
      </c>
    </row>
    <row r="1341" spans="1:11" ht="36">
      <c r="A1341" s="992">
        <v>22</v>
      </c>
      <c r="B1341" s="1026" t="s">
        <v>1276</v>
      </c>
      <c r="C1341" s="995" t="s">
        <v>667</v>
      </c>
      <c r="D1341" s="994" t="s">
        <v>2483</v>
      </c>
      <c r="E1341" s="998">
        <v>1</v>
      </c>
      <c r="F1341" s="994" t="s">
        <v>658</v>
      </c>
      <c r="G1341" s="996">
        <v>0</v>
      </c>
      <c r="H1341" s="997" t="s">
        <v>4753</v>
      </c>
      <c r="I1341" s="997" t="s">
        <v>2501</v>
      </c>
      <c r="J1341" s="994" t="s">
        <v>661</v>
      </c>
      <c r="K1341" s="995" t="s">
        <v>662</v>
      </c>
    </row>
    <row r="1342" spans="1:11" ht="240">
      <c r="A1342" s="992">
        <v>23</v>
      </c>
      <c r="B1342" s="1026" t="s">
        <v>1277</v>
      </c>
      <c r="C1342" s="995" t="s">
        <v>667</v>
      </c>
      <c r="D1342" s="994" t="s">
        <v>2483</v>
      </c>
      <c r="E1342" s="998">
        <v>1</v>
      </c>
      <c r="F1342" s="994" t="s">
        <v>658</v>
      </c>
      <c r="G1342" s="996">
        <v>0</v>
      </c>
      <c r="H1342" s="997" t="s">
        <v>4740</v>
      </c>
      <c r="I1342" s="997" t="s">
        <v>2501</v>
      </c>
      <c r="J1342" s="994" t="s">
        <v>661</v>
      </c>
      <c r="K1342" s="995" t="s">
        <v>662</v>
      </c>
    </row>
    <row r="1343" spans="1:11" ht="240">
      <c r="A1343" s="992">
        <v>24</v>
      </c>
      <c r="B1343" s="1026" t="s">
        <v>1278</v>
      </c>
      <c r="C1343" s="995" t="s">
        <v>667</v>
      </c>
      <c r="D1343" s="994" t="s">
        <v>2483</v>
      </c>
      <c r="E1343" s="998">
        <v>1</v>
      </c>
      <c r="F1343" s="994" t="s">
        <v>658</v>
      </c>
      <c r="G1343" s="996">
        <v>0</v>
      </c>
      <c r="H1343" s="997" t="s">
        <v>4740</v>
      </c>
      <c r="I1343" s="997" t="s">
        <v>2501</v>
      </c>
      <c r="J1343" s="994" t="s">
        <v>661</v>
      </c>
      <c r="K1343" s="995" t="s">
        <v>662</v>
      </c>
    </row>
    <row r="1344" spans="1:11" ht="135">
      <c r="A1344" s="992">
        <v>25</v>
      </c>
      <c r="B1344" s="1026" t="s">
        <v>1279</v>
      </c>
      <c r="C1344" s="995" t="s">
        <v>667</v>
      </c>
      <c r="D1344" s="994" t="s">
        <v>2483</v>
      </c>
      <c r="E1344" s="998">
        <v>1</v>
      </c>
      <c r="F1344" s="994" t="s">
        <v>658</v>
      </c>
      <c r="G1344" s="996">
        <v>0</v>
      </c>
      <c r="H1344" s="997" t="s">
        <v>4740</v>
      </c>
      <c r="I1344" s="997" t="s">
        <v>2501</v>
      </c>
      <c r="J1344" s="994" t="s">
        <v>661</v>
      </c>
      <c r="K1344" s="995" t="s">
        <v>662</v>
      </c>
    </row>
    <row r="1345" spans="1:11" ht="185.25">
      <c r="A1345" s="992">
        <v>26</v>
      </c>
      <c r="B1345" s="1027" t="s">
        <v>1280</v>
      </c>
      <c r="C1345" s="995" t="s">
        <v>667</v>
      </c>
      <c r="D1345" s="994" t="s">
        <v>2483</v>
      </c>
      <c r="E1345" s="998">
        <v>1</v>
      </c>
      <c r="F1345" s="994" t="s">
        <v>658</v>
      </c>
      <c r="G1345" s="996">
        <v>0</v>
      </c>
      <c r="H1345" s="997" t="s">
        <v>4743</v>
      </c>
      <c r="I1345" s="997" t="s">
        <v>2501</v>
      </c>
      <c r="J1345" s="994" t="s">
        <v>661</v>
      </c>
      <c r="K1345" s="995" t="s">
        <v>662</v>
      </c>
    </row>
    <row r="1346" spans="1:11" ht="185.25">
      <c r="A1346" s="992">
        <v>27</v>
      </c>
      <c r="B1346" s="1027" t="s">
        <v>1281</v>
      </c>
      <c r="C1346" s="995" t="s">
        <v>667</v>
      </c>
      <c r="D1346" s="994" t="s">
        <v>2483</v>
      </c>
      <c r="E1346" s="998">
        <v>1</v>
      </c>
      <c r="F1346" s="994" t="s">
        <v>658</v>
      </c>
      <c r="G1346" s="996">
        <v>0</v>
      </c>
      <c r="H1346" s="997" t="s">
        <v>4740</v>
      </c>
      <c r="I1346" s="997" t="s">
        <v>2501</v>
      </c>
      <c r="J1346" s="994" t="s">
        <v>661</v>
      </c>
      <c r="K1346" s="995" t="s">
        <v>662</v>
      </c>
    </row>
    <row r="1347" spans="1:11" ht="85.5">
      <c r="A1347" s="992">
        <v>28</v>
      </c>
      <c r="B1347" s="1027" t="s">
        <v>1282</v>
      </c>
      <c r="C1347" s="995" t="s">
        <v>667</v>
      </c>
      <c r="D1347" s="994" t="s">
        <v>2483</v>
      </c>
      <c r="E1347" s="998">
        <v>1</v>
      </c>
      <c r="F1347" s="994" t="s">
        <v>658</v>
      </c>
      <c r="G1347" s="996">
        <v>0</v>
      </c>
      <c r="H1347" s="997" t="s">
        <v>4747</v>
      </c>
      <c r="I1347" s="997" t="s">
        <v>2501</v>
      </c>
      <c r="J1347" s="994" t="s">
        <v>661</v>
      </c>
      <c r="K1347" s="995" t="s">
        <v>662</v>
      </c>
    </row>
    <row r="1348" spans="1:11" ht="142.5">
      <c r="A1348" s="992">
        <v>29</v>
      </c>
      <c r="B1348" s="1028" t="s">
        <v>1331</v>
      </c>
      <c r="C1348" s="995" t="s">
        <v>667</v>
      </c>
      <c r="D1348" s="994" t="s">
        <v>2483</v>
      </c>
      <c r="E1348" s="998">
        <v>1</v>
      </c>
      <c r="F1348" s="994" t="s">
        <v>658</v>
      </c>
      <c r="G1348" s="996">
        <v>0</v>
      </c>
      <c r="H1348" s="997" t="s">
        <v>4753</v>
      </c>
      <c r="I1348" s="997" t="s">
        <v>2501</v>
      </c>
      <c r="J1348" s="994" t="s">
        <v>661</v>
      </c>
      <c r="K1348" s="995" t="s">
        <v>662</v>
      </c>
    </row>
    <row r="1349" spans="1:11" ht="199.5">
      <c r="A1349" s="992">
        <v>30</v>
      </c>
      <c r="B1349" s="1028" t="s">
        <v>1332</v>
      </c>
      <c r="C1349" s="995" t="s">
        <v>667</v>
      </c>
      <c r="D1349" s="994" t="s">
        <v>2483</v>
      </c>
      <c r="E1349" s="998">
        <v>1</v>
      </c>
      <c r="F1349" s="994" t="s">
        <v>658</v>
      </c>
      <c r="G1349" s="996">
        <v>0</v>
      </c>
      <c r="H1349" s="997" t="s">
        <v>4743</v>
      </c>
      <c r="I1349" s="997" t="s">
        <v>2501</v>
      </c>
      <c r="J1349" s="994" t="s">
        <v>661</v>
      </c>
      <c r="K1349" s="995" t="s">
        <v>662</v>
      </c>
    </row>
    <row r="1350" spans="1:11" ht="99.75">
      <c r="A1350" s="992">
        <v>31</v>
      </c>
      <c r="B1350" s="1028" t="s">
        <v>1333</v>
      </c>
      <c r="C1350" s="995" t="s">
        <v>667</v>
      </c>
      <c r="D1350" s="994" t="s">
        <v>2483</v>
      </c>
      <c r="E1350" s="998">
        <v>1</v>
      </c>
      <c r="F1350" s="994" t="s">
        <v>658</v>
      </c>
      <c r="G1350" s="996">
        <v>0</v>
      </c>
      <c r="H1350" s="997" t="s">
        <v>4753</v>
      </c>
      <c r="I1350" s="997" t="s">
        <v>2501</v>
      </c>
      <c r="J1350" s="994" t="s">
        <v>661</v>
      </c>
      <c r="K1350" s="995" t="s">
        <v>662</v>
      </c>
    </row>
    <row r="1351" spans="1:11" ht="42.75">
      <c r="A1351" s="992">
        <v>32</v>
      </c>
      <c r="B1351" s="1028" t="s">
        <v>1334</v>
      </c>
      <c r="C1351" s="995" t="s">
        <v>667</v>
      </c>
      <c r="D1351" s="994" t="s">
        <v>2483</v>
      </c>
      <c r="E1351" s="998">
        <v>1</v>
      </c>
      <c r="F1351" s="994" t="s">
        <v>658</v>
      </c>
      <c r="G1351" s="996">
        <v>0</v>
      </c>
      <c r="H1351" s="997" t="s">
        <v>4743</v>
      </c>
      <c r="I1351" s="997" t="s">
        <v>2501</v>
      </c>
      <c r="J1351" s="994" t="s">
        <v>661</v>
      </c>
      <c r="K1351" s="995" t="s">
        <v>662</v>
      </c>
    </row>
    <row r="1353" spans="1:11" ht="16.5">
      <c r="A1353" s="1021" t="s">
        <v>1335</v>
      </c>
      <c r="B1353" s="1021"/>
      <c r="C1353" s="1021"/>
      <c r="D1353" s="1021"/>
      <c r="E1353" s="1021"/>
      <c r="F1353" s="1021"/>
      <c r="G1353" s="1021"/>
      <c r="H1353" s="1021"/>
      <c r="I1353" s="1021"/>
      <c r="J1353" s="1021"/>
      <c r="K1353" s="1021"/>
    </row>
    <row r="1354" spans="1:11" ht="16.5">
      <c r="A1354" s="1021" t="s">
        <v>4727</v>
      </c>
      <c r="B1354" s="1021"/>
      <c r="C1354" s="1021"/>
      <c r="D1354" s="1021"/>
      <c r="E1354" s="1021"/>
      <c r="F1354" s="1021"/>
      <c r="G1354" s="1021"/>
      <c r="H1354" s="1021"/>
      <c r="I1354" s="1021"/>
      <c r="J1354" s="1021"/>
      <c r="K1354" s="1021"/>
    </row>
    <row r="1355" spans="1:11" ht="16.5">
      <c r="A1355" s="1021" t="s">
        <v>2495</v>
      </c>
      <c r="B1355" s="1021"/>
      <c r="C1355" s="1021"/>
      <c r="D1355" s="1021"/>
      <c r="E1355" s="1021"/>
      <c r="F1355" s="1021"/>
      <c r="G1355" s="1021"/>
      <c r="H1355" s="1021"/>
      <c r="I1355" s="1021"/>
      <c r="J1355" s="1021"/>
      <c r="K1355" s="1021"/>
    </row>
    <row r="1356" spans="1:11" ht="15.75">
      <c r="A1356" s="1002"/>
      <c r="B1356" s="1002"/>
      <c r="C1356" s="1002"/>
      <c r="D1356" s="1002"/>
      <c r="E1356" s="1003"/>
      <c r="F1356" s="1004"/>
      <c r="G1356" s="1002"/>
      <c r="H1356" s="1002"/>
      <c r="I1356" s="1002"/>
      <c r="J1356" s="1002"/>
      <c r="K1356" s="1002"/>
    </row>
    <row r="1357" spans="1:11">
      <c r="A1357" s="1005"/>
      <c r="B1357" s="1005"/>
      <c r="C1357" s="1005"/>
      <c r="D1357" s="1005"/>
      <c r="E1357" s="1005"/>
      <c r="F1357" s="1005"/>
      <c r="G1357" s="1005"/>
      <c r="H1357" s="1005"/>
      <c r="I1357" s="1005"/>
      <c r="J1357" s="1005"/>
      <c r="K1357" s="1005"/>
    </row>
    <row r="1358" spans="1:11" ht="15.75">
      <c r="A1358" s="1006"/>
      <c r="B1358" s="1880"/>
      <c r="C1358" s="1880"/>
      <c r="D1358" s="1883" t="s">
        <v>1459</v>
      </c>
      <c r="E1358" s="1883"/>
      <c r="F1358" s="1883"/>
      <c r="G1358" s="1883"/>
      <c r="H1358" s="1883"/>
      <c r="I1358" s="1883"/>
      <c r="J1358" s="1883"/>
      <c r="K1358" s="1883"/>
    </row>
    <row r="1359" spans="1:11" ht="15.75">
      <c r="A1359" s="1006"/>
      <c r="B1359" s="1880"/>
      <c r="C1359" s="1880"/>
      <c r="D1359" s="1879" t="s">
        <v>4729</v>
      </c>
      <c r="E1359" s="1879"/>
      <c r="F1359" s="1879"/>
      <c r="G1359" s="1879"/>
      <c r="H1359" s="1879"/>
      <c r="I1359" s="1879"/>
      <c r="J1359" s="1879"/>
      <c r="K1359" s="1879"/>
    </row>
    <row r="1360" spans="1:11" ht="15.75">
      <c r="A1360" s="1006"/>
      <c r="B1360" s="1880"/>
      <c r="C1360" s="1880"/>
      <c r="D1360" s="1879" t="s">
        <v>4730</v>
      </c>
      <c r="E1360" s="1879"/>
      <c r="F1360" s="1879"/>
      <c r="G1360" s="1879"/>
      <c r="H1360" s="1879"/>
      <c r="I1360" s="1879"/>
      <c r="J1360" s="1879"/>
      <c r="K1360" s="1879"/>
    </row>
    <row r="1361" spans="1:11" ht="15.75">
      <c r="A1361" s="1006"/>
      <c r="B1361" s="1880"/>
      <c r="C1361" s="1880"/>
      <c r="D1361" s="1881" t="s">
        <v>4731</v>
      </c>
      <c r="E1361" s="1882"/>
      <c r="F1361" s="1882"/>
      <c r="G1361" s="1882"/>
      <c r="H1361" s="1882"/>
      <c r="I1361" s="1882"/>
      <c r="J1361" s="1882"/>
      <c r="K1361" s="1882"/>
    </row>
    <row r="1362" spans="1:11" ht="15.75">
      <c r="A1362" s="1006"/>
      <c r="B1362" s="1880"/>
      <c r="C1362" s="1880"/>
      <c r="D1362" s="1879" t="s">
        <v>4732</v>
      </c>
      <c r="E1362" s="1879"/>
      <c r="F1362" s="1879"/>
      <c r="G1362" s="1879"/>
      <c r="H1362" s="1879"/>
      <c r="I1362" s="1879"/>
      <c r="J1362" s="1879"/>
      <c r="K1362" s="1879"/>
    </row>
    <row r="1363" spans="1:11" ht="15.75">
      <c r="A1363" s="1006"/>
      <c r="B1363" s="1880"/>
      <c r="C1363" s="1880"/>
      <c r="D1363" s="1879" t="s">
        <v>4733</v>
      </c>
      <c r="E1363" s="1879"/>
      <c r="F1363" s="1879"/>
      <c r="G1363" s="1879"/>
      <c r="H1363" s="1879"/>
      <c r="I1363" s="1879"/>
      <c r="J1363" s="1879"/>
      <c r="K1363" s="1879"/>
    </row>
    <row r="1364" spans="1:11" ht="15.75">
      <c r="A1364" s="1006"/>
      <c r="B1364" s="1880"/>
      <c r="C1364" s="1880"/>
      <c r="D1364" s="1879" t="s">
        <v>4734</v>
      </c>
      <c r="E1364" s="1879"/>
      <c r="F1364" s="1879"/>
      <c r="G1364" s="1879"/>
      <c r="H1364" s="1879"/>
      <c r="I1364" s="1879"/>
      <c r="J1364" s="1879"/>
      <c r="K1364" s="1879"/>
    </row>
    <row r="1365" spans="1:11">
      <c r="A1365" s="1007"/>
      <c r="B1365" s="1008"/>
      <c r="C1365" s="1008"/>
      <c r="D1365" s="1008"/>
      <c r="E1365" s="1008"/>
      <c r="F1365" s="1008"/>
      <c r="G1365" s="1008"/>
      <c r="H1365" s="1008"/>
      <c r="I1365" s="1008"/>
      <c r="J1365" s="1008"/>
      <c r="K1365" s="1008"/>
    </row>
    <row r="1366" spans="1:11">
      <c r="A1366" s="1872" t="s">
        <v>2185</v>
      </c>
      <c r="B1366" s="1873" t="s">
        <v>2186</v>
      </c>
      <c r="C1366" s="1873"/>
      <c r="D1366" s="1873"/>
      <c r="E1366" s="1873"/>
      <c r="F1366" s="1873"/>
      <c r="G1366" s="1873"/>
      <c r="H1366" s="1873"/>
      <c r="I1366" s="1873"/>
      <c r="J1366" s="1873" t="s">
        <v>2187</v>
      </c>
      <c r="K1366" s="1873" t="s">
        <v>2188</v>
      </c>
    </row>
    <row r="1367" spans="1:11" ht="84">
      <c r="A1367" s="1872"/>
      <c r="B1367" s="1873" t="s">
        <v>2189</v>
      </c>
      <c r="C1367" s="1873" t="s">
        <v>2190</v>
      </c>
      <c r="D1367" s="988" t="s">
        <v>2191</v>
      </c>
      <c r="E1367" s="1873" t="s">
        <v>2192</v>
      </c>
      <c r="F1367" s="988" t="s">
        <v>2193</v>
      </c>
      <c r="G1367" s="1873" t="s">
        <v>2194</v>
      </c>
      <c r="H1367" s="1873" t="s">
        <v>2195</v>
      </c>
      <c r="I1367" s="1873"/>
      <c r="J1367" s="1873"/>
      <c r="K1367" s="1873"/>
    </row>
    <row r="1368" spans="1:11" ht="108">
      <c r="A1368" s="1872"/>
      <c r="B1368" s="1873"/>
      <c r="C1368" s="1873"/>
      <c r="D1368" s="989" t="s">
        <v>2196</v>
      </c>
      <c r="E1368" s="1873"/>
      <c r="F1368" s="989" t="s">
        <v>2196</v>
      </c>
      <c r="G1368" s="1873"/>
      <c r="H1368" s="988" t="s">
        <v>2197</v>
      </c>
      <c r="I1368" s="988" t="s">
        <v>653</v>
      </c>
      <c r="J1368" s="1873"/>
      <c r="K1368" s="988" t="s">
        <v>654</v>
      </c>
    </row>
    <row r="1369" spans="1:11">
      <c r="A1369" s="990" t="s">
        <v>2049</v>
      </c>
      <c r="B1369" s="991">
        <v>2</v>
      </c>
      <c r="C1369" s="991">
        <v>3</v>
      </c>
      <c r="D1369" s="991">
        <v>4</v>
      </c>
      <c r="E1369" s="991">
        <v>5</v>
      </c>
      <c r="F1369" s="991">
        <v>6</v>
      </c>
      <c r="G1369" s="991">
        <v>7</v>
      </c>
      <c r="H1369" s="991">
        <v>8</v>
      </c>
      <c r="I1369" s="991">
        <v>9</v>
      </c>
      <c r="J1369" s="991">
        <v>10</v>
      </c>
      <c r="K1369" s="991">
        <v>11</v>
      </c>
    </row>
    <row r="1370" spans="1:11" ht="60">
      <c r="A1370" s="1019">
        <v>1</v>
      </c>
      <c r="B1370" s="1022" t="s">
        <v>1336</v>
      </c>
      <c r="C1370" s="995" t="s">
        <v>2487</v>
      </c>
      <c r="D1370" s="994" t="s">
        <v>4025</v>
      </c>
      <c r="E1370" s="998">
        <v>2</v>
      </c>
      <c r="F1370" s="994" t="s">
        <v>658</v>
      </c>
      <c r="G1370" s="996">
        <v>0</v>
      </c>
      <c r="H1370" s="997" t="s">
        <v>659</v>
      </c>
      <c r="I1370" s="997" t="s">
        <v>2480</v>
      </c>
      <c r="J1370" s="994" t="s">
        <v>661</v>
      </c>
      <c r="K1370" s="995" t="s">
        <v>662</v>
      </c>
    </row>
    <row r="1372" spans="1:11" ht="16.5">
      <c r="A1372" s="1021" t="s">
        <v>1337</v>
      </c>
      <c r="B1372" s="1021"/>
      <c r="C1372" s="1021"/>
      <c r="D1372" s="1021"/>
      <c r="E1372" s="1021"/>
      <c r="F1372" s="1021"/>
      <c r="G1372" s="1021"/>
      <c r="H1372" s="1021"/>
      <c r="I1372" s="1021"/>
      <c r="J1372" s="1021"/>
      <c r="K1372" s="1021"/>
    </row>
    <row r="1373" spans="1:11" ht="16.5">
      <c r="A1373" s="1021" t="s">
        <v>4727</v>
      </c>
      <c r="B1373" s="1021"/>
      <c r="C1373" s="1021"/>
      <c r="D1373" s="1021"/>
      <c r="E1373" s="1021"/>
      <c r="F1373" s="1021"/>
      <c r="G1373" s="1021"/>
      <c r="H1373" s="1021"/>
      <c r="I1373" s="1021"/>
      <c r="J1373" s="1021"/>
      <c r="K1373" s="1021"/>
    </row>
    <row r="1374" spans="1:11" ht="16.5">
      <c r="A1374" s="1021" t="s">
        <v>2495</v>
      </c>
      <c r="B1374" s="1021"/>
      <c r="C1374" s="1021"/>
      <c r="D1374" s="1021"/>
      <c r="E1374" s="1021"/>
      <c r="F1374" s="1021"/>
      <c r="G1374" s="1021"/>
      <c r="H1374" s="1021"/>
      <c r="I1374" s="1021"/>
      <c r="J1374" s="1021"/>
      <c r="K1374" s="1021"/>
    </row>
    <row r="1375" spans="1:11" ht="15.75">
      <c r="A1375" s="1002"/>
      <c r="B1375" s="1002"/>
      <c r="C1375" s="1002"/>
      <c r="D1375" s="1002"/>
      <c r="E1375" s="1003"/>
      <c r="F1375" s="1004"/>
      <c r="G1375" s="1002"/>
      <c r="H1375" s="1002"/>
      <c r="I1375" s="1002"/>
      <c r="J1375" s="1002"/>
      <c r="K1375" s="1002"/>
    </row>
    <row r="1376" spans="1:11">
      <c r="A1376" s="1005"/>
      <c r="B1376" s="1005"/>
      <c r="C1376" s="1005"/>
      <c r="D1376" s="1005"/>
      <c r="E1376" s="1005"/>
      <c r="F1376" s="1005"/>
      <c r="G1376" s="1005"/>
      <c r="H1376" s="1005"/>
      <c r="I1376" s="1005"/>
      <c r="J1376" s="1005"/>
      <c r="K1376" s="1005"/>
    </row>
    <row r="1377" spans="1:11" ht="15.75">
      <c r="A1377" s="1006"/>
      <c r="B1377" s="1880"/>
      <c r="C1377" s="1880"/>
      <c r="D1377" s="1883" t="s">
        <v>1459</v>
      </c>
      <c r="E1377" s="1883"/>
      <c r="F1377" s="1883"/>
      <c r="G1377" s="1883"/>
      <c r="H1377" s="1883"/>
      <c r="I1377" s="1883"/>
      <c r="J1377" s="1883"/>
      <c r="K1377" s="1883"/>
    </row>
    <row r="1378" spans="1:11" ht="15.75">
      <c r="A1378" s="1006"/>
      <c r="B1378" s="1880"/>
      <c r="C1378" s="1880"/>
      <c r="D1378" s="1879" t="s">
        <v>4729</v>
      </c>
      <c r="E1378" s="1879"/>
      <c r="F1378" s="1879"/>
      <c r="G1378" s="1879"/>
      <c r="H1378" s="1879"/>
      <c r="I1378" s="1879"/>
      <c r="J1378" s="1879"/>
      <c r="K1378" s="1879"/>
    </row>
    <row r="1379" spans="1:11" ht="15.75">
      <c r="A1379" s="1006"/>
      <c r="B1379" s="1880"/>
      <c r="C1379" s="1880"/>
      <c r="D1379" s="1879" t="s">
        <v>4730</v>
      </c>
      <c r="E1379" s="1879"/>
      <c r="F1379" s="1879"/>
      <c r="G1379" s="1879"/>
      <c r="H1379" s="1879"/>
      <c r="I1379" s="1879"/>
      <c r="J1379" s="1879"/>
      <c r="K1379" s="1879"/>
    </row>
    <row r="1380" spans="1:11" ht="15.75">
      <c r="A1380" s="1006"/>
      <c r="B1380" s="1880"/>
      <c r="C1380" s="1880"/>
      <c r="D1380" s="1881" t="s">
        <v>4731</v>
      </c>
      <c r="E1380" s="1882"/>
      <c r="F1380" s="1882"/>
      <c r="G1380" s="1882"/>
      <c r="H1380" s="1882"/>
      <c r="I1380" s="1882"/>
      <c r="J1380" s="1882"/>
      <c r="K1380" s="1882"/>
    </row>
    <row r="1381" spans="1:11" ht="15.75">
      <c r="A1381" s="1006"/>
      <c r="B1381" s="1880"/>
      <c r="C1381" s="1880"/>
      <c r="D1381" s="1879" t="s">
        <v>4732</v>
      </c>
      <c r="E1381" s="1879"/>
      <c r="F1381" s="1879"/>
      <c r="G1381" s="1879"/>
      <c r="H1381" s="1879"/>
      <c r="I1381" s="1879"/>
      <c r="J1381" s="1879"/>
      <c r="K1381" s="1879"/>
    </row>
    <row r="1382" spans="1:11" ht="15.75">
      <c r="A1382" s="1006"/>
      <c r="B1382" s="1880"/>
      <c r="C1382" s="1880"/>
      <c r="D1382" s="1879" t="s">
        <v>4733</v>
      </c>
      <c r="E1382" s="1879"/>
      <c r="F1382" s="1879"/>
      <c r="G1382" s="1879"/>
      <c r="H1382" s="1879"/>
      <c r="I1382" s="1879"/>
      <c r="J1382" s="1879"/>
      <c r="K1382" s="1879"/>
    </row>
    <row r="1383" spans="1:11" ht="15.75">
      <c r="A1383" s="1006"/>
      <c r="B1383" s="1880"/>
      <c r="C1383" s="1880"/>
      <c r="D1383" s="1879" t="s">
        <v>4734</v>
      </c>
      <c r="E1383" s="1879"/>
      <c r="F1383" s="1879"/>
      <c r="G1383" s="1879"/>
      <c r="H1383" s="1879"/>
      <c r="I1383" s="1879"/>
      <c r="J1383" s="1879"/>
      <c r="K1383" s="1879"/>
    </row>
    <row r="1384" spans="1:11">
      <c r="A1384" s="1007"/>
      <c r="B1384" s="1008"/>
      <c r="C1384" s="1008"/>
      <c r="D1384" s="1008"/>
      <c r="E1384" s="1008"/>
      <c r="F1384" s="1008"/>
      <c r="G1384" s="1008"/>
      <c r="H1384" s="1008"/>
      <c r="I1384" s="1008"/>
      <c r="J1384" s="1008"/>
      <c r="K1384" s="1008"/>
    </row>
    <row r="1385" spans="1:11">
      <c r="A1385" s="1872" t="s">
        <v>2185</v>
      </c>
      <c r="B1385" s="1873" t="s">
        <v>2186</v>
      </c>
      <c r="C1385" s="1873"/>
      <c r="D1385" s="1873"/>
      <c r="E1385" s="1873"/>
      <c r="F1385" s="1873"/>
      <c r="G1385" s="1873"/>
      <c r="H1385" s="1873"/>
      <c r="I1385" s="1873"/>
      <c r="J1385" s="1873" t="s">
        <v>2187</v>
      </c>
      <c r="K1385" s="1873" t="s">
        <v>2188</v>
      </c>
    </row>
    <row r="1386" spans="1:11" ht="84">
      <c r="A1386" s="1872"/>
      <c r="B1386" s="1873" t="s">
        <v>2189</v>
      </c>
      <c r="C1386" s="1873" t="s">
        <v>2190</v>
      </c>
      <c r="D1386" s="988" t="s">
        <v>2191</v>
      </c>
      <c r="E1386" s="1873" t="s">
        <v>2192</v>
      </c>
      <c r="F1386" s="988" t="s">
        <v>2193</v>
      </c>
      <c r="G1386" s="1873" t="s">
        <v>2194</v>
      </c>
      <c r="H1386" s="1873" t="s">
        <v>2195</v>
      </c>
      <c r="I1386" s="1873"/>
      <c r="J1386" s="1873"/>
      <c r="K1386" s="1873"/>
    </row>
    <row r="1387" spans="1:11" ht="108">
      <c r="A1387" s="1872"/>
      <c r="B1387" s="1873"/>
      <c r="C1387" s="1873"/>
      <c r="D1387" s="989" t="s">
        <v>2196</v>
      </c>
      <c r="E1387" s="1873"/>
      <c r="F1387" s="989" t="s">
        <v>2196</v>
      </c>
      <c r="G1387" s="1873"/>
      <c r="H1387" s="988" t="s">
        <v>2197</v>
      </c>
      <c r="I1387" s="988" t="s">
        <v>653</v>
      </c>
      <c r="J1387" s="1873"/>
      <c r="K1387" s="988" t="s">
        <v>654</v>
      </c>
    </row>
    <row r="1388" spans="1:11">
      <c r="A1388" s="990" t="s">
        <v>2049</v>
      </c>
      <c r="B1388" s="991">
        <v>2</v>
      </c>
      <c r="C1388" s="991">
        <v>3</v>
      </c>
      <c r="D1388" s="991">
        <v>4</v>
      </c>
      <c r="E1388" s="991">
        <v>5</v>
      </c>
      <c r="F1388" s="991">
        <v>6</v>
      </c>
      <c r="G1388" s="991">
        <v>7</v>
      </c>
      <c r="H1388" s="991">
        <v>8</v>
      </c>
      <c r="I1388" s="991">
        <v>9</v>
      </c>
      <c r="J1388" s="991">
        <v>10</v>
      </c>
      <c r="K1388" s="991">
        <v>11</v>
      </c>
    </row>
    <row r="1389" spans="1:11" ht="300">
      <c r="A1389" s="1019">
        <v>1</v>
      </c>
      <c r="B1389" s="1022" t="s">
        <v>1338</v>
      </c>
      <c r="C1389" s="995" t="s">
        <v>2487</v>
      </c>
      <c r="D1389" s="994" t="s">
        <v>2498</v>
      </c>
      <c r="E1389" s="998">
        <v>1</v>
      </c>
      <c r="F1389" s="994" t="s">
        <v>658</v>
      </c>
      <c r="G1389" s="996">
        <v>2500000</v>
      </c>
      <c r="H1389" s="997" t="s">
        <v>659</v>
      </c>
      <c r="I1389" s="997" t="s">
        <v>2480</v>
      </c>
      <c r="J1389" s="994" t="s">
        <v>661</v>
      </c>
      <c r="K1389" s="995" t="s">
        <v>662</v>
      </c>
    </row>
  </sheetData>
  <mergeCells count="155">
    <mergeCell ref="A1385:A1387"/>
    <mergeCell ref="B1385:I1385"/>
    <mergeCell ref="H1386:I1386"/>
    <mergeCell ref="C1386:C1387"/>
    <mergeCell ref="G1386:G1387"/>
    <mergeCell ref="B1386:B1387"/>
    <mergeCell ref="G1367:G1368"/>
    <mergeCell ref="C1367:C1368"/>
    <mergeCell ref="D1382:K1382"/>
    <mergeCell ref="B1382:C1382"/>
    <mergeCell ref="J1385:J1387"/>
    <mergeCell ref="E1386:E1387"/>
    <mergeCell ref="B1383:C1383"/>
    <mergeCell ref="D1383:K1383"/>
    <mergeCell ref="K1385:K1386"/>
    <mergeCell ref="B1381:C1381"/>
    <mergeCell ref="D1381:K1381"/>
    <mergeCell ref="B1358:C1358"/>
    <mergeCell ref="D1358:K1358"/>
    <mergeCell ref="B1380:C1380"/>
    <mergeCell ref="G1317:G1318"/>
    <mergeCell ref="A1366:A1368"/>
    <mergeCell ref="K1316:K1317"/>
    <mergeCell ref="D1363:K1363"/>
    <mergeCell ref="J1366:J1368"/>
    <mergeCell ref="B1379:C1379"/>
    <mergeCell ref="D1378:K1378"/>
    <mergeCell ref="B1360:C1360"/>
    <mergeCell ref="D1362:K1362"/>
    <mergeCell ref="D1360:K1360"/>
    <mergeCell ref="D1359:K1359"/>
    <mergeCell ref="D1361:K1361"/>
    <mergeCell ref="D1364:K1364"/>
    <mergeCell ref="B1363:C1363"/>
    <mergeCell ref="D1380:K1380"/>
    <mergeCell ref="H1367:I1367"/>
    <mergeCell ref="K1366:K1367"/>
    <mergeCell ref="B1366:I1366"/>
    <mergeCell ref="B1378:C1378"/>
    <mergeCell ref="D1379:K1379"/>
    <mergeCell ref="B1377:C1377"/>
    <mergeCell ref="D1377:K1377"/>
    <mergeCell ref="B1293:C1293"/>
    <mergeCell ref="D1308:K1308"/>
    <mergeCell ref="B1309:C1309"/>
    <mergeCell ref="D1310:K1310"/>
    <mergeCell ref="D1309:K1309"/>
    <mergeCell ref="D1312:K1312"/>
    <mergeCell ref="G1297:G1298"/>
    <mergeCell ref="B1297:B1298"/>
    <mergeCell ref="A1316:A1318"/>
    <mergeCell ref="C1211:C1212"/>
    <mergeCell ref="E1211:E1212"/>
    <mergeCell ref="H1211:I1211"/>
    <mergeCell ref="E1297:E1298"/>
    <mergeCell ref="A1280:K1280"/>
    <mergeCell ref="B1308:C1308"/>
    <mergeCell ref="C1317:C1318"/>
    <mergeCell ref="E1317:E1318"/>
    <mergeCell ref="B1311:C1311"/>
    <mergeCell ref="D1311:K1311"/>
    <mergeCell ref="B1310:C1310"/>
    <mergeCell ref="D1313:K1313"/>
    <mergeCell ref="C1297:C1298"/>
    <mergeCell ref="A1279:K1279"/>
    <mergeCell ref="B1291:C1291"/>
    <mergeCell ref="D1288:K1288"/>
    <mergeCell ref="A1281:K1281"/>
    <mergeCell ref="B1290:C1290"/>
    <mergeCell ref="D1290:K1290"/>
    <mergeCell ref="B1288:C1288"/>
    <mergeCell ref="B1294:C1294"/>
    <mergeCell ref="D1293:K1293"/>
    <mergeCell ref="A1296:A1298"/>
    <mergeCell ref="D1294:K1294"/>
    <mergeCell ref="A1198:K1198"/>
    <mergeCell ref="C1189:D1189"/>
    <mergeCell ref="B1361:C1361"/>
    <mergeCell ref="B1367:B1368"/>
    <mergeCell ref="E1367:E1368"/>
    <mergeCell ref="B1362:C1362"/>
    <mergeCell ref="B1364:C1364"/>
    <mergeCell ref="J1316:J1318"/>
    <mergeCell ref="G1211:G1212"/>
    <mergeCell ref="B1204:C1204"/>
    <mergeCell ref="D1289:K1289"/>
    <mergeCell ref="D1208:K1208"/>
    <mergeCell ref="B1316:I1316"/>
    <mergeCell ref="B1312:C1312"/>
    <mergeCell ref="B1313:C1313"/>
    <mergeCell ref="D1314:K1314"/>
    <mergeCell ref="K1210:K1211"/>
    <mergeCell ref="A1284:K1284"/>
    <mergeCell ref="B1314:C1314"/>
    <mergeCell ref="B1211:B1212"/>
    <mergeCell ref="B1359:C1359"/>
    <mergeCell ref="H1317:I1317"/>
    <mergeCell ref="A1210:A1212"/>
    <mergeCell ref="B1296:I1296"/>
    <mergeCell ref="B1317:B1318"/>
    <mergeCell ref="D1204:K1204"/>
    <mergeCell ref="B1289:C1289"/>
    <mergeCell ref="B1208:C1208"/>
    <mergeCell ref="B1205:C1205"/>
    <mergeCell ref="A1285:K1285"/>
    <mergeCell ref="A1199:K1199"/>
    <mergeCell ref="B1207:C1207"/>
    <mergeCell ref="B1203:C1203"/>
    <mergeCell ref="B1206:C1206"/>
    <mergeCell ref="D1206:K1206"/>
    <mergeCell ref="D1207:K1207"/>
    <mergeCell ref="D1203:K1203"/>
    <mergeCell ref="B1202:C1202"/>
    <mergeCell ref="D1205:K1205"/>
    <mergeCell ref="D1202:K1202"/>
    <mergeCell ref="B1210:I1210"/>
    <mergeCell ref="D1291:K1291"/>
    <mergeCell ref="B1292:C1292"/>
    <mergeCell ref="D1292:K1292"/>
    <mergeCell ref="K1296:K1297"/>
    <mergeCell ref="H1297:I1297"/>
    <mergeCell ref="J1210:J1212"/>
    <mergeCell ref="J1296:J1298"/>
    <mergeCell ref="B4:R4"/>
    <mergeCell ref="B6:O6"/>
    <mergeCell ref="D8:O8"/>
    <mergeCell ref="H1174:H1175"/>
    <mergeCell ref="I1174:J1174"/>
    <mergeCell ref="L1173:L1174"/>
    <mergeCell ref="K1173:K1175"/>
    <mergeCell ref="B1174:B1175"/>
    <mergeCell ref="F1174:F1175"/>
    <mergeCell ref="C1174:D1175"/>
    <mergeCell ref="C1192:D1192"/>
    <mergeCell ref="C1191:D1191"/>
    <mergeCell ref="C1195:D1195"/>
    <mergeCell ref="A1197:K1197"/>
    <mergeCell ref="C1187:D1187"/>
    <mergeCell ref="A1173:A1175"/>
    <mergeCell ref="B1173:J1173"/>
    <mergeCell ref="C1183:D1183"/>
    <mergeCell ref="C1184:D1184"/>
    <mergeCell ref="C1177:D1177"/>
    <mergeCell ref="C1178:D1178"/>
    <mergeCell ref="C1182:D1182"/>
    <mergeCell ref="C1179:D1179"/>
    <mergeCell ref="C1180:D1180"/>
    <mergeCell ref="C1176:D1176"/>
    <mergeCell ref="C1181:D1181"/>
    <mergeCell ref="C1190:D1190"/>
    <mergeCell ref="C1193:D1193"/>
    <mergeCell ref="C1185:D1185"/>
    <mergeCell ref="C1186:D1186"/>
    <mergeCell ref="C1194:D1194"/>
    <mergeCell ref="C1188:D1188"/>
  </mergeCells>
  <phoneticPr fontId="0" type="noConversion"/>
  <hyperlinks>
    <hyperlink ref="D1205" r:id="rId1"/>
    <hyperlink ref="D1291" r:id="rId2"/>
    <hyperlink ref="D1311" r:id="rId3"/>
    <hyperlink ref="D1361" r:id="rId4"/>
    <hyperlink ref="D1380" r:id="rId5"/>
    <hyperlink ref="B6" display="http://zakupki.gov.ru/epz/order/quicksearch/search_eis.html?searchString=%D0%A0%D0%BE%D1%81%D1%82%D1%81%D0%B5%D0%BB%D1%8C%D0%BC%D0%B0%D1%88%D1%8D%D0%BD%D0%B5%D1%80%D0%B3%D0%BE&amp;morphology=on&amp;pageNumber=1&amp;sortDirection=false&amp;recordsPerPage=_10&amp;showLotsInfoH"/>
    <hyperlink ref="B2" location="Главная!A1" display="Переход на главную страницу"/>
  </hyperlinks>
  <pageMargins left="0.7" right="0.7" top="0.75" bottom="0.75" header="0.3" footer="0.3"/>
  <pageSetup paperSize="9" orientation="portrait" r:id="rId6"/>
  <drawing r:id="rId7"/>
  <legacyDrawing r:id="rId8"/>
</worksheet>
</file>

<file path=xl/worksheets/sheet26.xml><?xml version="1.0" encoding="utf-8"?>
<worksheet xmlns="http://schemas.openxmlformats.org/spreadsheetml/2006/main" xmlns:r="http://schemas.openxmlformats.org/officeDocument/2006/relationships">
  <dimension ref="B1:K217"/>
  <sheetViews>
    <sheetView view="pageBreakPreview" zoomScale="60" zoomScaleNormal="100" workbookViewId="0">
      <selection activeCell="B65" sqref="B65"/>
    </sheetView>
  </sheetViews>
  <sheetFormatPr defaultRowHeight="15"/>
  <cols>
    <col min="2" max="2" width="123.42578125" customWidth="1"/>
    <col min="4" max="4" width="28.140625" customWidth="1"/>
    <col min="5" max="5" width="18.42578125" customWidth="1"/>
  </cols>
  <sheetData>
    <row r="1" spans="2:2" ht="15.75">
      <c r="B1" s="79" t="s">
        <v>724</v>
      </c>
    </row>
    <row r="2" spans="2:2" ht="15.75">
      <c r="B2" s="1029" t="s">
        <v>1339</v>
      </c>
    </row>
    <row r="3" spans="2:2" ht="15.75">
      <c r="B3" s="1030" t="s">
        <v>1760</v>
      </c>
    </row>
    <row r="4" spans="2:2" ht="15.75">
      <c r="B4" s="1029"/>
    </row>
    <row r="5" spans="2:2" ht="21">
      <c r="B5" s="1405" t="s">
        <v>4960</v>
      </c>
    </row>
    <row r="6" spans="2:2" ht="15.75">
      <c r="B6" s="1030"/>
    </row>
    <row r="7" spans="2:2" ht="15.75">
      <c r="B7" s="1030"/>
    </row>
    <row r="9" spans="2:2" ht="15.75">
      <c r="B9" s="1031"/>
    </row>
    <row r="10" spans="2:2" ht="15.75">
      <c r="B10" s="1031"/>
    </row>
    <row r="11" spans="2:2" ht="15.75">
      <c r="B11" s="1032"/>
    </row>
    <row r="12" spans="2:2" ht="15.75">
      <c r="B12" s="1032"/>
    </row>
    <row r="13" spans="2:2" ht="15.75">
      <c r="B13" s="1032"/>
    </row>
    <row r="14" spans="2:2" ht="15.75">
      <c r="B14" s="1032"/>
    </row>
    <row r="15" spans="2:2" ht="15.75">
      <c r="B15" s="1032"/>
    </row>
    <row r="16" spans="2:2" ht="15.75">
      <c r="B16" s="1032"/>
    </row>
    <row r="17" spans="2:2" ht="15.75">
      <c r="B17" s="1032"/>
    </row>
    <row r="18" spans="2:2" ht="15.75">
      <c r="B18" s="1032"/>
    </row>
    <row r="19" spans="2:2" ht="15.75">
      <c r="B19" s="1032"/>
    </row>
    <row r="20" spans="2:2" ht="15.75">
      <c r="B20" s="1032"/>
    </row>
    <row r="21" spans="2:2" ht="15.75">
      <c r="B21" s="1032"/>
    </row>
    <row r="22" spans="2:2" ht="15.75">
      <c r="B22" s="1032"/>
    </row>
    <row r="23" spans="2:2" ht="15.75">
      <c r="B23" s="1032"/>
    </row>
    <row r="24" spans="2:2" ht="15.75">
      <c r="B24" s="1032"/>
    </row>
    <row r="25" spans="2:2" ht="15.75">
      <c r="B25" s="1032"/>
    </row>
    <row r="26" spans="2:2" ht="15.75">
      <c r="B26" s="1032"/>
    </row>
    <row r="27" spans="2:2" ht="15.75">
      <c r="B27" s="1032"/>
    </row>
    <row r="28" spans="2:2" ht="15.75">
      <c r="B28" s="1032"/>
    </row>
    <row r="29" spans="2:2" ht="15.75">
      <c r="B29" s="1032"/>
    </row>
    <row r="30" spans="2:2" ht="15.75">
      <c r="B30" s="1032"/>
    </row>
    <row r="31" spans="2:2" ht="15.75">
      <c r="B31" s="1032"/>
    </row>
    <row r="32" spans="2:2" ht="15.75">
      <c r="B32" s="1032"/>
    </row>
    <row r="33" spans="2:2" ht="15.75">
      <c r="B33" s="1032"/>
    </row>
    <row r="34" spans="2:2" ht="15.75">
      <c r="B34" s="1032"/>
    </row>
    <row r="35" spans="2:2" ht="15.75">
      <c r="B35" s="1032"/>
    </row>
    <row r="36" spans="2:2" ht="15.75">
      <c r="B36" s="1032"/>
    </row>
    <row r="37" spans="2:2" ht="15.75">
      <c r="B37" s="1029"/>
    </row>
    <row r="38" spans="2:2" ht="15.75">
      <c r="B38" s="1029"/>
    </row>
    <row r="39" spans="2:2" ht="15.75">
      <c r="B39" s="1029"/>
    </row>
    <row r="40" spans="2:2" ht="15.75">
      <c r="B40" s="1029"/>
    </row>
    <row r="41" spans="2:2" ht="15.75">
      <c r="B41" s="1033"/>
    </row>
    <row r="42" spans="2:2" ht="15.75">
      <c r="B42" s="1033"/>
    </row>
    <row r="43" spans="2:2" ht="15.75">
      <c r="B43" s="1034"/>
    </row>
    <row r="44" spans="2:2" ht="15.75">
      <c r="B44" s="1034"/>
    </row>
    <row r="45" spans="2:2" ht="15.75">
      <c r="B45" s="1034"/>
    </row>
    <row r="46" spans="2:2" ht="15.75">
      <c r="B46" s="1034"/>
    </row>
    <row r="47" spans="2:2" ht="15.75">
      <c r="B47" s="1034"/>
    </row>
    <row r="48" spans="2:2" ht="15.75">
      <c r="B48" s="1035"/>
    </row>
    <row r="49" spans="2:2">
      <c r="B49" s="1036"/>
    </row>
    <row r="50" spans="2:2">
      <c r="B50" s="1036"/>
    </row>
    <row r="51" spans="2:2">
      <c r="B51" s="1037"/>
    </row>
    <row r="52" spans="2:2">
      <c r="B52" s="1036"/>
    </row>
    <row r="53" spans="2:2" ht="15.75">
      <c r="B53" s="1035"/>
    </row>
    <row r="54" spans="2:2">
      <c r="B54" s="1036"/>
    </row>
    <row r="55" spans="2:2">
      <c r="B55" s="1036"/>
    </row>
    <row r="56" spans="2:2">
      <c r="B56" s="1037"/>
    </row>
    <row r="57" spans="2:2">
      <c r="B57" s="1038"/>
    </row>
    <row r="58" spans="2:2" ht="15.75">
      <c r="B58" s="1035"/>
    </row>
    <row r="59" spans="2:2">
      <c r="B59" s="1036"/>
    </row>
    <row r="60" spans="2:2">
      <c r="B60" s="1036"/>
    </row>
    <row r="61" spans="2:2">
      <c r="B61" s="1036"/>
    </row>
    <row r="62" spans="2:2">
      <c r="B62" s="1036"/>
    </row>
    <row r="63" spans="2:2">
      <c r="B63" s="1036"/>
    </row>
    <row r="64" spans="2:2">
      <c r="B64" s="1036"/>
    </row>
    <row r="65" spans="2:2">
      <c r="B65" s="1037"/>
    </row>
    <row r="66" spans="2:2">
      <c r="B66" s="1036"/>
    </row>
    <row r="67" spans="2:2" ht="15.75">
      <c r="B67" s="1033"/>
    </row>
    <row r="68" spans="2:2">
      <c r="B68" s="1036"/>
    </row>
    <row r="69" spans="2:2">
      <c r="B69" s="1036"/>
    </row>
    <row r="70" spans="2:2">
      <c r="B70" s="1037"/>
    </row>
    <row r="71" spans="2:2" ht="15.75">
      <c r="B71" s="1039"/>
    </row>
    <row r="72" spans="2:2" ht="15.75">
      <c r="B72" s="1033"/>
    </row>
    <row r="73" spans="2:2">
      <c r="B73" s="1036"/>
    </row>
    <row r="74" spans="2:2">
      <c r="B74" s="1036"/>
    </row>
    <row r="75" spans="2:2">
      <c r="B75" s="1037"/>
    </row>
    <row r="76" spans="2:2" ht="15.75">
      <c r="B76" s="1039"/>
    </row>
    <row r="77" spans="2:2" ht="15.75">
      <c r="B77" s="1033"/>
    </row>
    <row r="78" spans="2:2">
      <c r="B78" s="1036"/>
    </row>
    <row r="79" spans="2:2">
      <c r="B79" s="1036"/>
    </row>
    <row r="80" spans="2:2">
      <c r="B80" s="1037"/>
    </row>
    <row r="81" spans="2:11" ht="15.75">
      <c r="B81" s="1039"/>
    </row>
    <row r="82" spans="2:11" ht="15.75">
      <c r="B82" s="1033"/>
    </row>
    <row r="83" spans="2:11">
      <c r="B83" s="1036"/>
    </row>
    <row r="84" spans="2:11">
      <c r="B84" s="1036"/>
    </row>
    <row r="85" spans="2:11">
      <c r="B85" s="1037"/>
    </row>
    <row r="86" spans="2:11" ht="15.75">
      <c r="B86" s="1039"/>
    </row>
    <row r="87" spans="2:11" ht="15.75">
      <c r="B87" s="1035"/>
      <c r="H87" s="1035"/>
    </row>
    <row r="88" spans="2:11" ht="22.5">
      <c r="K88" s="1037" t="s">
        <v>1340</v>
      </c>
    </row>
    <row r="89" spans="2:11" ht="15.75">
      <c r="B89" s="1035"/>
    </row>
    <row r="90" spans="2:11" ht="15.75">
      <c r="B90" s="1035"/>
      <c r="H90" s="1035"/>
    </row>
    <row r="91" spans="2:11" ht="22.5">
      <c r="K91" s="1037" t="s">
        <v>1340</v>
      </c>
    </row>
    <row r="92" spans="2:11" ht="15.75">
      <c r="B92" s="1030"/>
    </row>
    <row r="93" spans="2:11">
      <c r="B93" s="1037"/>
    </row>
    <row r="94" spans="2:11">
      <c r="B94" s="1040"/>
    </row>
    <row r="95" spans="2:11" ht="15.75">
      <c r="B95" s="1029"/>
    </row>
    <row r="96" spans="2:11" ht="15.75">
      <c r="B96" s="1029"/>
    </row>
    <row r="97" spans="2:2" ht="15.75">
      <c r="B97" s="1029"/>
    </row>
    <row r="98" spans="2:2" ht="15.75">
      <c r="B98" s="1029"/>
    </row>
    <row r="99" spans="2:2" ht="15.75">
      <c r="B99" s="1033"/>
    </row>
    <row r="100" spans="2:2">
      <c r="B100" s="1041"/>
    </row>
    <row r="101" spans="2:2" ht="15.75">
      <c r="B101" s="1042"/>
    </row>
    <row r="102" spans="2:2" ht="15.75">
      <c r="B102" s="1042"/>
    </row>
    <row r="103" spans="2:2" ht="15.75">
      <c r="B103" s="1042"/>
    </row>
    <row r="104" spans="2:2" ht="15.75">
      <c r="B104" s="1042"/>
    </row>
    <row r="105" spans="2:2" ht="15.75">
      <c r="B105" s="1034"/>
    </row>
    <row r="106" spans="2:2" ht="15.75">
      <c r="B106" s="1034"/>
    </row>
    <row r="107" spans="2:2" ht="15.75">
      <c r="B107" s="1034"/>
    </row>
    <row r="108" spans="2:2" ht="15.75">
      <c r="B108" s="1034"/>
    </row>
    <row r="109" spans="2:2" ht="15.75">
      <c r="B109" s="1043"/>
    </row>
    <row r="110" spans="2:2" ht="15.75">
      <c r="B110" s="1033"/>
    </row>
    <row r="111" spans="2:2" ht="15.75">
      <c r="B111" s="1039"/>
    </row>
    <row r="112" spans="2:2" ht="15.75">
      <c r="B112" s="1039"/>
    </row>
    <row r="113" spans="2:9" ht="15.75">
      <c r="B113" s="1039"/>
    </row>
    <row r="114" spans="2:9" ht="15.75">
      <c r="B114" s="1039"/>
    </row>
    <row r="115" spans="2:9" ht="15.75">
      <c r="B115" s="1039"/>
    </row>
    <row r="116" spans="2:9" ht="15.75">
      <c r="B116" s="1039"/>
    </row>
    <row r="117" spans="2:9" ht="15.75">
      <c r="B117" s="1039"/>
    </row>
    <row r="118" spans="2:9" ht="15.75">
      <c r="B118" s="1033"/>
    </row>
    <row r="119" spans="2:9" ht="15.75">
      <c r="B119" s="1039"/>
    </row>
    <row r="120" spans="2:9" ht="15.75">
      <c r="B120" s="1039"/>
    </row>
    <row r="121" spans="2:9" ht="15.75">
      <c r="I121" s="1039"/>
    </row>
    <row r="122" spans="2:9" ht="15.75">
      <c r="B122" s="1039"/>
    </row>
    <row r="123" spans="2:9" ht="15.75">
      <c r="B123" s="1039"/>
    </row>
    <row r="124" spans="2:9" ht="15.75">
      <c r="B124" s="1039"/>
    </row>
    <row r="125" spans="2:9" ht="15.75">
      <c r="B125" s="1044"/>
    </row>
    <row r="126" spans="2:9" ht="15.75">
      <c r="B126" s="1039"/>
    </row>
    <row r="127" spans="2:9" ht="15.75">
      <c r="B127" s="1039"/>
    </row>
    <row r="128" spans="2:9" ht="15.75">
      <c r="B128" s="1039"/>
    </row>
    <row r="129" spans="2:2" ht="15.75">
      <c r="B129" s="1039"/>
    </row>
    <row r="130" spans="2:2" ht="15.75">
      <c r="B130" s="1039"/>
    </row>
    <row r="131" spans="2:2" ht="15.75">
      <c r="B131" s="1039"/>
    </row>
    <row r="132" spans="2:2" ht="15.75">
      <c r="B132" s="1039"/>
    </row>
    <row r="133" spans="2:2" ht="15.75">
      <c r="B133" s="1044"/>
    </row>
    <row r="134" spans="2:2" ht="15.75">
      <c r="B134" s="1039"/>
    </row>
    <row r="135" spans="2:2" ht="15.75">
      <c r="B135" s="1039"/>
    </row>
    <row r="136" spans="2:2" ht="15.75">
      <c r="B136" s="1039"/>
    </row>
    <row r="137" spans="2:2" ht="15.75">
      <c r="B137" s="1039"/>
    </row>
    <row r="138" spans="2:2" ht="15.75">
      <c r="B138" s="1039"/>
    </row>
    <row r="139" spans="2:2" ht="15.75">
      <c r="B139" s="1039"/>
    </row>
    <row r="140" spans="2:2" ht="15.75">
      <c r="B140" s="1039"/>
    </row>
    <row r="141" spans="2:2" ht="15.75">
      <c r="B141" s="1044"/>
    </row>
    <row r="142" spans="2:2" ht="15.75">
      <c r="B142" s="1039"/>
    </row>
    <row r="143" spans="2:2" ht="15.75">
      <c r="B143" s="1039"/>
    </row>
    <row r="144" spans="2:2" ht="15.75">
      <c r="B144" s="1039"/>
    </row>
    <row r="145" spans="2:2" ht="15.75">
      <c r="B145" s="1039"/>
    </row>
    <row r="146" spans="2:2" ht="15.75">
      <c r="B146" s="1039"/>
    </row>
    <row r="147" spans="2:2" ht="15.75">
      <c r="B147" s="1039"/>
    </row>
    <row r="148" spans="2:2" ht="15.75">
      <c r="B148" s="1033"/>
    </row>
    <row r="149" spans="2:2" ht="15.75">
      <c r="B149" s="1033"/>
    </row>
    <row r="150" spans="2:2" ht="15.75">
      <c r="B150" s="1039"/>
    </row>
    <row r="151" spans="2:2" ht="15.75">
      <c r="B151" s="1039"/>
    </row>
    <row r="152" spans="2:2" ht="15.75">
      <c r="B152" s="1039"/>
    </row>
    <row r="153" spans="2:2" ht="15.75">
      <c r="B153" s="1039"/>
    </row>
    <row r="154" spans="2:2" ht="15.75">
      <c r="B154" s="1033"/>
    </row>
    <row r="155" spans="2:2" ht="15.75">
      <c r="B155" s="1033"/>
    </row>
    <row r="156" spans="2:2" ht="15.75">
      <c r="B156" s="1033"/>
    </row>
    <row r="157" spans="2:2" ht="15.75">
      <c r="B157" s="1033"/>
    </row>
    <row r="158" spans="2:2" ht="15.75">
      <c r="B158" s="1033"/>
    </row>
    <row r="159" spans="2:2" ht="15.75">
      <c r="B159" s="1033"/>
    </row>
    <row r="160" spans="2:2" ht="15.75">
      <c r="B160" s="1033"/>
    </row>
    <row r="161" spans="2:2" ht="15.75">
      <c r="B161" s="1033"/>
    </row>
    <row r="162" spans="2:2" ht="15.75">
      <c r="B162" s="1033"/>
    </row>
    <row r="163" spans="2:2" ht="15.75">
      <c r="B163" s="1035"/>
    </row>
    <row r="164" spans="2:2" ht="15.75">
      <c r="B164" s="1035"/>
    </row>
    <row r="165" spans="2:2" ht="15.75">
      <c r="B165" s="1035"/>
    </row>
    <row r="166" spans="2:2" ht="15.75">
      <c r="B166" s="1035"/>
    </row>
    <row r="167" spans="2:2" ht="15.75">
      <c r="B167" s="1035"/>
    </row>
    <row r="168" spans="2:2" ht="15.75">
      <c r="B168" s="1035"/>
    </row>
    <row r="169" spans="2:2" ht="15.75">
      <c r="B169" s="1035"/>
    </row>
    <row r="170" spans="2:2" ht="15.75">
      <c r="B170" s="1035"/>
    </row>
    <row r="171" spans="2:2" ht="15.75">
      <c r="B171" s="1035"/>
    </row>
    <row r="172" spans="2:2" ht="15.75">
      <c r="B172" s="1035"/>
    </row>
    <row r="173" spans="2:2" ht="15.75">
      <c r="B173" s="1035"/>
    </row>
    <row r="174" spans="2:2" ht="15.75">
      <c r="B174" s="1035"/>
    </row>
    <row r="175" spans="2:2" ht="15.75">
      <c r="B175" s="1035"/>
    </row>
    <row r="176" spans="2:2" ht="15.75">
      <c r="B176" s="1035"/>
    </row>
    <row r="177" spans="2:2" ht="15.75">
      <c r="B177" s="1035"/>
    </row>
    <row r="178" spans="2:2" ht="15.75">
      <c r="B178" s="1035"/>
    </row>
    <row r="179" spans="2:2" ht="15.75">
      <c r="B179" s="1035"/>
    </row>
    <row r="180" spans="2:2" ht="15.75">
      <c r="B180" s="1035"/>
    </row>
    <row r="181" spans="2:2" ht="15.75">
      <c r="B181" s="1035"/>
    </row>
    <row r="182" spans="2:2" ht="15.75">
      <c r="B182" s="1035"/>
    </row>
    <row r="183" spans="2:2" ht="15.75">
      <c r="B183" s="1035"/>
    </row>
    <row r="184" spans="2:2" ht="15.75">
      <c r="B184" s="1035"/>
    </row>
    <row r="185" spans="2:2" ht="15.75">
      <c r="B185" s="1035"/>
    </row>
    <row r="186" spans="2:2" ht="15.75">
      <c r="B186" s="1035"/>
    </row>
    <row r="187" spans="2:2" ht="15.75">
      <c r="B187" s="1035"/>
    </row>
    <row r="188" spans="2:2" ht="15.75">
      <c r="B188" s="1035"/>
    </row>
    <row r="189" spans="2:2" ht="15.75">
      <c r="B189" s="1035"/>
    </row>
    <row r="190" spans="2:2" ht="15.75">
      <c r="B190" s="1035"/>
    </row>
    <row r="191" spans="2:2" ht="15.75">
      <c r="B191" s="1035"/>
    </row>
    <row r="192" spans="2:2" ht="15.75">
      <c r="B192" s="1035"/>
    </row>
    <row r="193" spans="2:4" ht="15.75">
      <c r="B193" s="1035"/>
    </row>
    <row r="194" spans="2:4" ht="16.5" thickBot="1">
      <c r="B194" s="1039"/>
    </row>
    <row r="195" spans="2:4" ht="89.25" customHeight="1">
      <c r="B195" s="1045"/>
      <c r="C195" s="1046" t="s">
        <v>1341</v>
      </c>
      <c r="D195" s="1886" t="s">
        <v>1342</v>
      </c>
    </row>
    <row r="196" spans="2:4" ht="45">
      <c r="B196" s="1047"/>
      <c r="C196" s="1048" t="s">
        <v>1343</v>
      </c>
      <c r="D196" s="1887"/>
    </row>
    <row r="197" spans="2:4" ht="45.75" thickBot="1">
      <c r="B197" s="1049"/>
      <c r="C197" s="1050" t="s">
        <v>1344</v>
      </c>
      <c r="D197" s="1888"/>
    </row>
    <row r="198" spans="2:4" ht="15.75" thickBot="1">
      <c r="B198" s="1049"/>
      <c r="C198" s="1050">
        <v>2</v>
      </c>
      <c r="D198" s="1050">
        <v>3</v>
      </c>
    </row>
    <row r="199" spans="2:4" ht="15.75" thickBot="1">
      <c r="B199" s="1051"/>
      <c r="C199" s="1052"/>
      <c r="D199" s="1052"/>
    </row>
    <row r="200" spans="2:4" ht="15.75" thickBot="1">
      <c r="B200" s="1051"/>
      <c r="C200" s="1052"/>
      <c r="D200" s="1052"/>
    </row>
    <row r="201" spans="2:4" ht="15.75" thickBot="1">
      <c r="B201" s="1051"/>
      <c r="C201" s="1052"/>
      <c r="D201" s="1052"/>
    </row>
    <row r="202" spans="2:4" ht="15.75" thickBot="1">
      <c r="B202" s="1051"/>
      <c r="C202" s="1052"/>
      <c r="D202" s="1052"/>
    </row>
    <row r="203" spans="2:4" ht="15.75" thickBot="1">
      <c r="B203" s="1051"/>
      <c r="C203" s="1052"/>
      <c r="D203" s="1052"/>
    </row>
    <row r="204" spans="2:4" ht="15.75" thickBot="1">
      <c r="B204" s="1051"/>
      <c r="C204" s="1052"/>
      <c r="D204" s="1052"/>
    </row>
    <row r="205" spans="2:4" ht="15.75" thickBot="1">
      <c r="B205" s="1051"/>
      <c r="C205" s="1052"/>
      <c r="D205" s="1052"/>
    </row>
    <row r="207" spans="2:4" ht="15.75">
      <c r="B207" s="1034"/>
    </row>
    <row r="208" spans="2:4" ht="16.5" thickBot="1">
      <c r="B208" s="1034"/>
    </row>
    <row r="209" spans="2:7" ht="88.5" customHeight="1">
      <c r="B209" s="1053"/>
      <c r="C209" s="1054" t="s">
        <v>1345</v>
      </c>
      <c r="D209" s="1889" t="s">
        <v>1346</v>
      </c>
      <c r="E209" s="1889" t="s">
        <v>1347</v>
      </c>
      <c r="F209" s="1054" t="s">
        <v>1348</v>
      </c>
      <c r="G209" s="1889" t="s">
        <v>1349</v>
      </c>
    </row>
    <row r="210" spans="2:7" ht="31.5" thickBot="1">
      <c r="B210" s="1055"/>
      <c r="C210" s="1056" t="s">
        <v>1350</v>
      </c>
      <c r="D210" s="1890"/>
      <c r="E210" s="1890"/>
      <c r="F210" s="1056" t="s">
        <v>1351</v>
      </c>
      <c r="G210" s="1890"/>
    </row>
    <row r="211" spans="2:7" ht="15.75" thickBot="1">
      <c r="B211" s="1049"/>
      <c r="C211" s="1050">
        <v>2</v>
      </c>
      <c r="D211" s="1050">
        <v>3</v>
      </c>
      <c r="E211" s="1050">
        <v>4</v>
      </c>
      <c r="F211" s="1050">
        <v>5</v>
      </c>
      <c r="G211" s="1050">
        <v>6</v>
      </c>
    </row>
    <row r="212" spans="2:7" ht="15.75" thickBot="1">
      <c r="B212" s="1057"/>
      <c r="C212" s="1058"/>
      <c r="D212" s="1058"/>
      <c r="E212" s="1058"/>
      <c r="F212" s="1058"/>
      <c r="G212" s="1058"/>
    </row>
    <row r="213" spans="2:7" ht="15.75" thickBot="1">
      <c r="B213" s="1057"/>
      <c r="C213" s="1058"/>
      <c r="D213" s="1058"/>
      <c r="E213" s="1058"/>
      <c r="F213" s="1058"/>
      <c r="G213" s="1058"/>
    </row>
    <row r="214" spans="2:7" ht="15.75" thickBot="1">
      <c r="B214" s="1057"/>
      <c r="C214" s="1058"/>
      <c r="D214" s="1058"/>
      <c r="E214" s="1058"/>
      <c r="F214" s="1058"/>
      <c r="G214" s="1058"/>
    </row>
    <row r="215" spans="2:7" ht="15.75" thickBot="1">
      <c r="B215" s="1057"/>
      <c r="C215" s="1058"/>
      <c r="D215" s="1058"/>
      <c r="E215" s="1058"/>
      <c r="F215" s="1058"/>
      <c r="G215" s="1058"/>
    </row>
    <row r="216" spans="2:7" ht="15.75" thickBot="1">
      <c r="B216" s="1057"/>
      <c r="C216" s="1058"/>
      <c r="D216" s="1058"/>
      <c r="E216" s="1058"/>
      <c r="F216" s="1058"/>
      <c r="G216" s="1058"/>
    </row>
    <row r="217" spans="2:7" ht="15.75" thickBot="1">
      <c r="B217" s="1057"/>
      <c r="C217" s="1058"/>
      <c r="D217" s="1058"/>
      <c r="E217" s="1058"/>
      <c r="F217" s="1058"/>
      <c r="G217" s="1058"/>
    </row>
  </sheetData>
  <mergeCells count="4">
    <mergeCell ref="D195:D197"/>
    <mergeCell ref="D209:D210"/>
    <mergeCell ref="E209:E210"/>
    <mergeCell ref="G209:G210"/>
  </mergeCells>
  <phoneticPr fontId="0" type="noConversion"/>
  <hyperlinks>
    <hyperlink ref="B1" location="Главная!A1" display="Переход на главную страницу"/>
    <hyperlink ref="B5" r:id="rId1"/>
  </hyperlinks>
  <pageMargins left="0.7" right="0.7" top="0.75" bottom="0.75" header="0.3" footer="0.3"/>
  <pageSetup paperSize="9" orientation="portrait" r:id="rId2"/>
  <headerFooter alignWithMargins="0"/>
</worksheet>
</file>

<file path=xl/worksheets/sheet27.xml><?xml version="1.0" encoding="utf-8"?>
<worksheet xmlns="http://schemas.openxmlformats.org/spreadsheetml/2006/main" xmlns:r="http://schemas.openxmlformats.org/officeDocument/2006/relationships">
  <dimension ref="B1:B46"/>
  <sheetViews>
    <sheetView view="pageBreakPreview" zoomScale="60" zoomScaleNormal="100" workbookViewId="0">
      <selection activeCell="A11" sqref="A11:F12"/>
    </sheetView>
  </sheetViews>
  <sheetFormatPr defaultRowHeight="15"/>
  <cols>
    <col min="2" max="2" width="129.140625" customWidth="1"/>
    <col min="4" max="4" width="28.140625" customWidth="1"/>
    <col min="5" max="5" width="18.42578125" customWidth="1"/>
  </cols>
  <sheetData>
    <row r="1" spans="2:2" ht="15.75">
      <c r="B1" s="79" t="s">
        <v>724</v>
      </c>
    </row>
    <row r="2" spans="2:2" ht="15.75">
      <c r="B2" s="1029" t="s">
        <v>1352</v>
      </c>
    </row>
    <row r="3" spans="2:2" ht="15.75">
      <c r="B3" s="1030"/>
    </row>
    <row r="4" spans="2:2" ht="36">
      <c r="B4" s="1059" t="s">
        <v>1353</v>
      </c>
    </row>
    <row r="5" spans="2:2" ht="15.75">
      <c r="B5" s="1030"/>
    </row>
    <row r="6" spans="2:2" ht="15.75">
      <c r="B6" s="1030"/>
    </row>
    <row r="7" spans="2:2" ht="15.75">
      <c r="B7" s="1031"/>
    </row>
    <row r="8" spans="2:2" ht="15.75">
      <c r="B8" s="1031"/>
    </row>
    <row r="9" spans="2:2" ht="15.75">
      <c r="B9" s="1032"/>
    </row>
    <row r="10" spans="2:2" ht="15.75">
      <c r="B10" s="1032"/>
    </row>
    <row r="11" spans="2:2" ht="15.75">
      <c r="B11" s="1032"/>
    </row>
    <row r="12" spans="2:2" ht="15.75">
      <c r="B12" s="1032"/>
    </row>
    <row r="13" spans="2:2" ht="15.75">
      <c r="B13" s="1032"/>
    </row>
    <row r="14" spans="2:2" ht="15.75">
      <c r="B14" s="1032"/>
    </row>
    <row r="15" spans="2:2" ht="15.75">
      <c r="B15" s="1032"/>
    </row>
    <row r="16" spans="2:2" ht="15.75">
      <c r="B16" s="1032"/>
    </row>
    <row r="17" spans="2:2" ht="15.75">
      <c r="B17" s="1032"/>
    </row>
    <row r="18" spans="2:2" ht="15.75">
      <c r="B18" s="1032"/>
    </row>
    <row r="19" spans="2:2" ht="15.75">
      <c r="B19" s="1032"/>
    </row>
    <row r="20" spans="2:2" ht="15.75">
      <c r="B20" s="1032"/>
    </row>
    <row r="21" spans="2:2" ht="15.75">
      <c r="B21" s="1032"/>
    </row>
    <row r="22" spans="2:2" ht="15.75">
      <c r="B22" s="1032"/>
    </row>
    <row r="23" spans="2:2" ht="15.75">
      <c r="B23" s="1032"/>
    </row>
    <row r="24" spans="2:2" ht="15.75">
      <c r="B24" s="1032"/>
    </row>
    <row r="25" spans="2:2" ht="15.75">
      <c r="B25" s="1032"/>
    </row>
    <row r="26" spans="2:2" ht="15.75">
      <c r="B26" s="1032"/>
    </row>
    <row r="27" spans="2:2" ht="15.75">
      <c r="B27" s="1032"/>
    </row>
    <row r="28" spans="2:2" ht="15.75">
      <c r="B28" s="1032"/>
    </row>
    <row r="29" spans="2:2" ht="15.75">
      <c r="B29" s="1032"/>
    </row>
    <row r="30" spans="2:2" ht="15.75">
      <c r="B30" s="1032"/>
    </row>
    <row r="31" spans="2:2" ht="15.75">
      <c r="B31" s="1032"/>
    </row>
    <row r="32" spans="2:2" ht="15.75">
      <c r="B32" s="1032"/>
    </row>
    <row r="33" spans="2:2" ht="15.75">
      <c r="B33" s="1032"/>
    </row>
    <row r="34" spans="2:2" ht="15.75">
      <c r="B34" s="1032"/>
    </row>
    <row r="35" spans="2:2" ht="15.75">
      <c r="B35" s="1029"/>
    </row>
    <row r="36" spans="2:2" ht="15.75">
      <c r="B36" s="1029"/>
    </row>
    <row r="37" spans="2:2" ht="15.75">
      <c r="B37" s="1029"/>
    </row>
    <row r="38" spans="2:2" ht="15.75">
      <c r="B38" s="1029"/>
    </row>
    <row r="39" spans="2:2" ht="15.75">
      <c r="B39" s="1033"/>
    </row>
    <row r="40" spans="2:2" ht="15.75">
      <c r="B40" s="1033"/>
    </row>
    <row r="41" spans="2:2" ht="15.75">
      <c r="B41" s="1034"/>
    </row>
    <row r="42" spans="2:2" ht="15.75">
      <c r="B42" s="1034"/>
    </row>
    <row r="43" spans="2:2" ht="15.75">
      <c r="B43" s="1034"/>
    </row>
    <row r="44" spans="2:2" ht="15.75">
      <c r="B44" s="1034"/>
    </row>
    <row r="45" spans="2:2" ht="15.75">
      <c r="B45" s="1034"/>
    </row>
    <row r="46" spans="2:2" ht="15.75">
      <c r="B46" s="1035"/>
    </row>
  </sheetData>
  <phoneticPr fontId="0" type="noConversion"/>
  <hyperlinks>
    <hyperlink ref="B1" location="Главная!A1" display="Переход на главную страницу"/>
  </hyperlinks>
  <pageMargins left="0.7" right="0.7"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dimension ref="A1:C62"/>
  <sheetViews>
    <sheetView view="pageBreakPreview" zoomScaleNormal="100" zoomScaleSheetLayoutView="100" workbookViewId="0">
      <selection activeCell="E12" sqref="E12"/>
    </sheetView>
  </sheetViews>
  <sheetFormatPr defaultRowHeight="12.75"/>
  <cols>
    <col min="1" max="1" width="89.5703125" style="1060" customWidth="1"/>
    <col min="2" max="2" width="16.42578125" style="1060" customWidth="1"/>
    <col min="3" max="3" width="20.28515625" style="1060" customWidth="1"/>
    <col min="4" max="16384" width="9.140625" style="1060"/>
  </cols>
  <sheetData>
    <row r="1" spans="1:3" ht="15.75">
      <c r="A1" s="79" t="s">
        <v>724</v>
      </c>
    </row>
    <row r="2" spans="1:3" ht="27" customHeight="1">
      <c r="A2" s="1061" t="s">
        <v>1354</v>
      </c>
    </row>
    <row r="5" spans="1:3" ht="27" customHeight="1">
      <c r="A5" s="1062" t="s">
        <v>1355</v>
      </c>
    </row>
    <row r="7" spans="1:3">
      <c r="A7" s="1063" t="s">
        <v>1356</v>
      </c>
    </row>
    <row r="9" spans="1:3" ht="36" customHeight="1">
      <c r="A9" s="1064" t="s">
        <v>727</v>
      </c>
    </row>
    <row r="10" spans="1:3" ht="48.75" customHeight="1">
      <c r="A10" s="1064" t="s">
        <v>728</v>
      </c>
    </row>
    <row r="12" spans="1:3" ht="51.75" customHeight="1" thickBot="1">
      <c r="A12" s="1891" t="s">
        <v>729</v>
      </c>
      <c r="B12" s="1891"/>
      <c r="C12" s="1891"/>
    </row>
    <row r="13" spans="1:3" ht="79.5" customHeight="1" thickBot="1">
      <c r="A13" s="1084" t="s">
        <v>730</v>
      </c>
      <c r="B13" s="1065" t="s">
        <v>731</v>
      </c>
      <c r="C13" s="1065" t="s">
        <v>732</v>
      </c>
    </row>
    <row r="14" spans="1:3" ht="13.5" thickBot="1">
      <c r="A14" s="1066">
        <v>1</v>
      </c>
      <c r="B14" s="1067">
        <v>2</v>
      </c>
      <c r="C14" s="1067">
        <v>3</v>
      </c>
    </row>
    <row r="15" spans="1:3" ht="13.5" thickBot="1">
      <c r="A15" s="1068" t="s">
        <v>733</v>
      </c>
      <c r="B15" s="1069">
        <f>209.6*0+0.23</f>
        <v>0.23</v>
      </c>
      <c r="C15" s="1069">
        <f>168*0+183</f>
        <v>183</v>
      </c>
    </row>
    <row r="16" spans="1:3" ht="13.5" hidden="1" thickBot="1">
      <c r="A16" s="1070" t="s">
        <v>3568</v>
      </c>
      <c r="B16" s="1071"/>
      <c r="C16" s="1071"/>
    </row>
    <row r="17" spans="1:3" ht="13.5" hidden="1" thickBot="1">
      <c r="A17" s="1070" t="s">
        <v>3568</v>
      </c>
      <c r="B17" s="1071"/>
      <c r="C17" s="1071"/>
    </row>
    <row r="18" spans="1:3" ht="13.5" hidden="1" thickBot="1">
      <c r="A18" s="1070"/>
      <c r="B18" s="1071"/>
      <c r="C18" s="1072"/>
    </row>
    <row r="19" spans="1:3" ht="13.5" hidden="1" thickBot="1">
      <c r="A19" s="1070"/>
      <c r="B19" s="1071"/>
      <c r="C19" s="1071"/>
    </row>
    <row r="20" spans="1:3" ht="13.5" hidden="1" thickBot="1">
      <c r="A20" s="1070"/>
      <c r="B20" s="1071"/>
      <c r="C20" s="1071"/>
    </row>
    <row r="21" spans="1:3" ht="13.5" hidden="1" thickBot="1">
      <c r="A21" s="1070"/>
      <c r="B21" s="1071"/>
      <c r="C21" s="1071"/>
    </row>
    <row r="22" spans="1:3" ht="13.5" hidden="1" thickBot="1">
      <c r="A22" s="1070"/>
      <c r="B22" s="1071"/>
      <c r="C22" s="1071"/>
    </row>
    <row r="23" spans="1:3" ht="13.5" hidden="1" thickBot="1">
      <c r="A23" s="1070"/>
      <c r="B23" s="1071"/>
      <c r="C23" s="1071"/>
    </row>
    <row r="24" spans="1:3" ht="13.5" hidden="1" thickBot="1">
      <c r="A24" s="1070"/>
      <c r="B24" s="1071"/>
      <c r="C24" s="1071"/>
    </row>
    <row r="25" spans="1:3" ht="13.5" hidden="1" thickBot="1">
      <c r="A25" s="1070"/>
      <c r="B25" s="1071"/>
      <c r="C25" s="1071"/>
    </row>
    <row r="26" spans="1:3" ht="13.5" hidden="1" thickBot="1">
      <c r="A26" s="1070"/>
      <c r="B26" s="1071"/>
      <c r="C26" s="1071"/>
    </row>
    <row r="28" spans="1:3" ht="19.5">
      <c r="A28" s="1073" t="s">
        <v>734</v>
      </c>
    </row>
    <row r="29" spans="1:3" ht="38.25">
      <c r="A29" s="1062" t="s">
        <v>735</v>
      </c>
    </row>
    <row r="31" spans="1:3">
      <c r="A31" s="1063" t="s">
        <v>736</v>
      </c>
    </row>
    <row r="36" spans="1:3" ht="13.5">
      <c r="A36" s="1074" t="s">
        <v>737</v>
      </c>
    </row>
    <row r="37" spans="1:3" ht="13.5">
      <c r="A37" s="1074" t="s">
        <v>738</v>
      </c>
      <c r="B37" s="1060" t="s">
        <v>745</v>
      </c>
    </row>
    <row r="38" spans="1:3" ht="13.5">
      <c r="A38" s="1074"/>
      <c r="B38" s="1060" t="s">
        <v>742</v>
      </c>
    </row>
    <row r="39" spans="1:3" ht="13.5">
      <c r="A39" s="1075" t="s">
        <v>1459</v>
      </c>
    </row>
    <row r="40" spans="1:3" ht="13.5">
      <c r="A40" s="1074" t="s">
        <v>739</v>
      </c>
    </row>
    <row r="41" spans="1:3" ht="13.5" thickBot="1">
      <c r="A41" s="1076"/>
    </row>
    <row r="42" spans="1:3" ht="46.5" customHeight="1" thickBot="1">
      <c r="A42" s="1077" t="s">
        <v>740</v>
      </c>
      <c r="B42" s="1083" t="s">
        <v>745</v>
      </c>
      <c r="C42" s="1078">
        <f>MAX(C15:C26)</f>
        <v>183</v>
      </c>
    </row>
    <row r="43" spans="1:3" ht="36" customHeight="1" thickBot="1">
      <c r="A43" s="1079" t="s">
        <v>741</v>
      </c>
      <c r="B43" s="1082" t="s">
        <v>742</v>
      </c>
      <c r="C43" s="1081">
        <f>SUM(B15:B26)</f>
        <v>0.23</v>
      </c>
    </row>
    <row r="44" spans="1:3" ht="13.5" thickBot="1">
      <c r="A44" s="1077" t="s">
        <v>743</v>
      </c>
      <c r="B44" s="1077"/>
      <c r="C44" s="1080">
        <f>C43/C42</f>
        <v>1.2568306010928962E-3</v>
      </c>
    </row>
    <row r="45" spans="1:3">
      <c r="A45" s="1076"/>
    </row>
    <row r="46" spans="1:3" ht="19.5">
      <c r="A46" s="1073" t="s">
        <v>734</v>
      </c>
    </row>
    <row r="47" spans="1:3" ht="13.5">
      <c r="A47" s="1074" t="s">
        <v>744</v>
      </c>
    </row>
    <row r="62" spans="2:2">
      <c r="B62" s="1060">
        <f>(6.3+6.8+6.4+4.2+4.4+3.8+2.8+2.7+1.1+3.9+5.8+5.7)/12</f>
        <v>4.4916666666666671</v>
      </c>
    </row>
  </sheetData>
  <mergeCells count="1">
    <mergeCell ref="A12:C12"/>
  </mergeCells>
  <phoneticPr fontId="0" type="noConversion"/>
  <hyperlinks>
    <hyperlink ref="A1" location="Главная!A1" display="Переход на главную страницу"/>
  </hyperlinks>
  <pageMargins left="0.75" right="0.75" top="1" bottom="1" header="0.5" footer="0.5"/>
  <pageSetup paperSize="9" scale="68" orientation="portrait" r:id="rId1"/>
  <headerFooter alignWithMargins="0"/>
  <rowBreaks count="1" manualBreakCount="1">
    <brk id="34" max="2" man="1"/>
  </rowBreaks>
</worksheet>
</file>

<file path=xl/worksheets/sheet29.xml><?xml version="1.0" encoding="utf-8"?>
<worksheet xmlns="http://schemas.openxmlformats.org/spreadsheetml/2006/main" xmlns:r="http://schemas.openxmlformats.org/officeDocument/2006/relationships">
  <sheetPr>
    <tabColor theme="0"/>
  </sheetPr>
  <dimension ref="A1:Q76"/>
  <sheetViews>
    <sheetView view="pageBreakPreview" topLeftCell="A46" zoomScaleNormal="115" zoomScaleSheetLayoutView="100" workbookViewId="0">
      <selection activeCell="G7" sqref="A7:M17"/>
    </sheetView>
  </sheetViews>
  <sheetFormatPr defaultRowHeight="12.75"/>
  <cols>
    <col min="1" max="1" width="17.42578125" style="1060" customWidth="1"/>
    <col min="2" max="2" width="7.5703125" style="1280" customWidth="1"/>
    <col min="3" max="3" width="14.85546875" style="1060" customWidth="1"/>
    <col min="4" max="4" width="9.140625" style="1060"/>
    <col min="5" max="5" width="10.7109375" style="1060" bestFit="1" customWidth="1"/>
    <col min="6" max="16384" width="9.140625" style="1060"/>
  </cols>
  <sheetData>
    <row r="1" spans="1:17" ht="15.75">
      <c r="A1" s="79" t="s">
        <v>724</v>
      </c>
    </row>
    <row r="2" spans="1:17" ht="21" customHeight="1">
      <c r="A2" s="1892" t="s">
        <v>853</v>
      </c>
      <c r="B2" s="1892"/>
      <c r="C2" s="1892"/>
      <c r="D2" s="1892"/>
      <c r="E2" s="1892"/>
      <c r="F2" s="1892"/>
      <c r="G2" s="1892"/>
      <c r="H2" s="1892"/>
      <c r="I2" s="1892"/>
      <c r="J2" s="1892"/>
      <c r="K2" s="1892"/>
      <c r="L2" s="1892"/>
      <c r="M2" s="1892"/>
      <c r="N2" s="1892"/>
      <c r="O2" s="1892"/>
      <c r="P2" s="1892"/>
      <c r="Q2" s="1892"/>
    </row>
    <row r="4" spans="1:17">
      <c r="A4" s="1281" t="s">
        <v>854</v>
      </c>
      <c r="E4" s="1282">
        <f>0.4*F15+0.4*E32+0.2*E51</f>
        <v>0.82000000000000006</v>
      </c>
    </row>
    <row r="5" spans="1:17">
      <c r="A5" s="1063"/>
    </row>
    <row r="6" spans="1:17">
      <c r="A6" s="1063" t="s">
        <v>855</v>
      </c>
      <c r="C6" s="1063" t="s">
        <v>856</v>
      </c>
    </row>
    <row r="7" spans="1:17">
      <c r="C7" s="1063" t="s">
        <v>857</v>
      </c>
    </row>
    <row r="8" spans="1:17">
      <c r="C8" s="1063" t="s">
        <v>858</v>
      </c>
    </row>
    <row r="9" spans="1:17">
      <c r="A9" s="1063" t="s">
        <v>859</v>
      </c>
      <c r="C9" s="1063" t="s">
        <v>860</v>
      </c>
    </row>
    <row r="10" spans="1:17">
      <c r="A10" s="1063" t="s">
        <v>861</v>
      </c>
      <c r="C10" s="1063" t="s">
        <v>862</v>
      </c>
    </row>
    <row r="11" spans="1:17">
      <c r="C11" s="1063" t="s">
        <v>863</v>
      </c>
    </row>
    <row r="13" spans="1:17">
      <c r="A13" s="1281" t="s">
        <v>864</v>
      </c>
    </row>
    <row r="15" spans="1:17">
      <c r="A15" s="1281" t="s">
        <v>865</v>
      </c>
      <c r="F15" s="1283">
        <f>IF(B17=0,1,B17/IF(1&gt;(B17-B21),1,B17-B21))</f>
        <v>1</v>
      </c>
    </row>
    <row r="17" spans="1:5">
      <c r="A17" s="1063" t="s">
        <v>4301</v>
      </c>
      <c r="B17" s="1284">
        <v>1</v>
      </c>
      <c r="C17" s="1063" t="s">
        <v>4302</v>
      </c>
    </row>
    <row r="18" spans="1:5">
      <c r="C18" s="1063" t="s">
        <v>4303</v>
      </c>
    </row>
    <row r="19" spans="1:5">
      <c r="C19" s="1063" t="s">
        <v>3846</v>
      </c>
    </row>
    <row r="21" spans="1:5">
      <c r="A21" s="1063" t="s">
        <v>3847</v>
      </c>
      <c r="B21" s="1284">
        <v>0</v>
      </c>
      <c r="C21" s="1063" t="s">
        <v>4302</v>
      </c>
    </row>
    <row r="22" spans="1:5">
      <c r="C22" s="1063" t="s">
        <v>3848</v>
      </c>
    </row>
    <row r="23" spans="1:5">
      <c r="C23" s="1063" t="s">
        <v>3849</v>
      </c>
    </row>
    <row r="25" spans="1:5">
      <c r="A25" s="1063" t="s">
        <v>3850</v>
      </c>
      <c r="C25" s="1063" t="s">
        <v>3851</v>
      </c>
    </row>
    <row r="26" spans="1:5">
      <c r="C26" s="1063" t="s">
        <v>3852</v>
      </c>
    </row>
    <row r="27" spans="1:5">
      <c r="C27" s="1063" t="s">
        <v>3853</v>
      </c>
    </row>
    <row r="28" spans="1:5">
      <c r="C28" s="1063" t="s">
        <v>3854</v>
      </c>
    </row>
    <row r="30" spans="1:5">
      <c r="A30" s="1281" t="s">
        <v>3855</v>
      </c>
    </row>
    <row r="32" spans="1:5">
      <c r="A32" s="1281" t="s">
        <v>3856</v>
      </c>
      <c r="E32" s="1283">
        <f>IF(B34=0,1,B34/IF(1&gt;(B34-B37),1,B34-B37))</f>
        <v>1</v>
      </c>
    </row>
    <row r="33" spans="1:3">
      <c r="A33" s="1063"/>
    </row>
    <row r="34" spans="1:3">
      <c r="A34" s="1063" t="s">
        <v>3857</v>
      </c>
      <c r="B34" s="1284">
        <v>3</v>
      </c>
      <c r="C34" s="1063" t="s">
        <v>3858</v>
      </c>
    </row>
    <row r="35" spans="1:3">
      <c r="C35" s="1063" t="s">
        <v>3859</v>
      </c>
    </row>
    <row r="37" spans="1:3">
      <c r="A37" s="1063" t="s">
        <v>3860</v>
      </c>
      <c r="B37" s="1284">
        <v>0</v>
      </c>
      <c r="C37" s="1063" t="s">
        <v>3858</v>
      </c>
    </row>
    <row r="38" spans="1:3">
      <c r="C38" s="1063" t="s">
        <v>3861</v>
      </c>
    </row>
    <row r="39" spans="1:3">
      <c r="C39" s="1063" t="s">
        <v>3862</v>
      </c>
    </row>
    <row r="40" spans="1:3">
      <c r="C40" s="1063" t="s">
        <v>938</v>
      </c>
    </row>
    <row r="41" spans="1:3">
      <c r="C41" s="1063" t="s">
        <v>939</v>
      </c>
    </row>
    <row r="42" spans="1:3">
      <c r="C42" s="1063" t="s">
        <v>940</v>
      </c>
    </row>
    <row r="44" spans="1:3">
      <c r="A44" s="1063" t="s">
        <v>941</v>
      </c>
      <c r="C44" s="1063" t="s">
        <v>942</v>
      </c>
    </row>
    <row r="45" spans="1:3">
      <c r="C45" s="1063" t="s">
        <v>943</v>
      </c>
    </row>
    <row r="46" spans="1:3">
      <c r="C46" s="1063" t="s">
        <v>944</v>
      </c>
    </row>
    <row r="48" spans="1:3">
      <c r="A48" s="1281" t="s">
        <v>945</v>
      </c>
    </row>
    <row r="49" spans="1:5">
      <c r="A49" s="1281" t="s">
        <v>946</v>
      </c>
    </row>
    <row r="51" spans="1:5">
      <c r="A51" s="1281" t="s">
        <v>947</v>
      </c>
      <c r="E51" s="1283">
        <f>IF(B53=0,1,B53/IF(1&gt;(B53-B56),1,B53-B56))</f>
        <v>0.1</v>
      </c>
    </row>
    <row r="53" spans="1:5">
      <c r="A53" s="1063" t="s">
        <v>948</v>
      </c>
      <c r="B53" s="1284">
        <v>0.1</v>
      </c>
      <c r="C53" s="1063" t="s">
        <v>949</v>
      </c>
    </row>
    <row r="54" spans="1:5">
      <c r="C54" s="1063" t="s">
        <v>950</v>
      </c>
    </row>
    <row r="56" spans="1:5">
      <c r="A56" s="1063" t="s">
        <v>951</v>
      </c>
      <c r="B56" s="1284">
        <v>0</v>
      </c>
      <c r="C56" s="1063" t="s">
        <v>952</v>
      </c>
    </row>
    <row r="57" spans="1:5">
      <c r="C57" s="1063" t="s">
        <v>953</v>
      </c>
    </row>
    <row r="58" spans="1:5">
      <c r="C58" s="1063" t="s">
        <v>954</v>
      </c>
    </row>
    <row r="60" spans="1:5">
      <c r="A60" s="1063" t="s">
        <v>955</v>
      </c>
      <c r="C60" s="1063" t="s">
        <v>956</v>
      </c>
    </row>
    <row r="61" spans="1:5">
      <c r="C61" s="1063" t="s">
        <v>957</v>
      </c>
    </row>
    <row r="62" spans="1:5">
      <c r="C62" s="1063" t="s">
        <v>958</v>
      </c>
    </row>
    <row r="64" spans="1:5" ht="19.5">
      <c r="A64" s="1073" t="s">
        <v>734</v>
      </c>
      <c r="D64" s="1285"/>
    </row>
    <row r="65" spans="1:8" ht="13.5">
      <c r="A65" s="1893" t="s">
        <v>744</v>
      </c>
      <c r="B65" s="1893"/>
      <c r="C65" s="1893"/>
      <c r="D65" s="1893"/>
      <c r="E65" s="1893"/>
      <c r="F65" s="1893"/>
      <c r="G65" s="1893"/>
      <c r="H65" s="1893"/>
    </row>
    <row r="67" spans="1:8" ht="15.75">
      <c r="A67" s="1286" t="s">
        <v>959</v>
      </c>
      <c r="B67" s="1287"/>
    </row>
    <row r="69" spans="1:8">
      <c r="B69" s="1281" t="s">
        <v>960</v>
      </c>
      <c r="E69" s="1288">
        <f>0.1*'п.п. 11 к 3'!F39+0.7*'п.п. 11 к 3'!L32+0.2*'п.п. 11 к 3'!R39</f>
        <v>1.0038068181818183</v>
      </c>
    </row>
    <row r="71" spans="1:8">
      <c r="A71" s="1063" t="s">
        <v>961</v>
      </c>
      <c r="C71" s="1063" t="s">
        <v>962</v>
      </c>
    </row>
    <row r="72" spans="1:8">
      <c r="C72" s="1289" t="s">
        <v>963</v>
      </c>
    </row>
    <row r="74" spans="1:8" ht="19.5">
      <c r="A74" s="1073" t="s">
        <v>734</v>
      </c>
      <c r="D74" s="1285"/>
    </row>
    <row r="75" spans="1:8" ht="13.5">
      <c r="A75" s="1893" t="s">
        <v>744</v>
      </c>
      <c r="B75" s="1893"/>
      <c r="C75" s="1893"/>
      <c r="D75" s="1893"/>
      <c r="E75" s="1893"/>
      <c r="F75" s="1893"/>
      <c r="G75" s="1893"/>
      <c r="H75" s="1893"/>
    </row>
    <row r="76" spans="1:8" ht="15.75">
      <c r="A76" s="1286" t="s">
        <v>964</v>
      </c>
      <c r="B76" s="1287"/>
    </row>
  </sheetData>
  <mergeCells count="3">
    <mergeCell ref="A2:Q2"/>
    <mergeCell ref="A65:H65"/>
    <mergeCell ref="A75:H75"/>
  </mergeCells>
  <phoneticPr fontId="0" type="noConversion"/>
  <hyperlinks>
    <hyperlink ref="A1" location="Главная!A1" display="Переход на главную страницу"/>
  </hyperlinks>
  <pageMargins left="0.7" right="0.7" top="0.75" bottom="0.75" header="0.3" footer="0.3"/>
  <pageSetup paperSize="9" scale="55" orientation="portrait" r:id="rId1"/>
  <headerFooter alignWithMargins="0"/>
  <rowBreaks count="1" manualBreakCount="1">
    <brk id="65" max="15" man="1"/>
  </rowBreaks>
</worksheet>
</file>

<file path=xl/worksheets/sheet3.xml><?xml version="1.0" encoding="utf-8"?>
<worksheet xmlns="http://schemas.openxmlformats.org/spreadsheetml/2006/main" xmlns:r="http://schemas.openxmlformats.org/officeDocument/2006/relationships">
  <sheetPr>
    <tabColor indexed="22"/>
  </sheetPr>
  <dimension ref="A1:A5"/>
  <sheetViews>
    <sheetView workbookViewId="0">
      <selection activeCell="A4" sqref="A4"/>
    </sheetView>
  </sheetViews>
  <sheetFormatPr defaultRowHeight="15"/>
  <sheetData>
    <row r="1" spans="1:1" ht="15.75">
      <c r="A1" s="79" t="s">
        <v>724</v>
      </c>
    </row>
    <row r="3" spans="1:1">
      <c r="A3" t="s">
        <v>1760</v>
      </c>
    </row>
    <row r="5" spans="1:1">
      <c r="A5" s="67" t="s">
        <v>1456</v>
      </c>
    </row>
  </sheetData>
  <phoneticPr fontId="0" type="noConversion"/>
  <hyperlinks>
    <hyperlink ref="A1" location="Главная!A1" display="Переход на главную страницу"/>
    <hyperlink ref="A5" r:id="rId1"/>
  </hyperlink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sheetPr>
    <tabColor theme="0"/>
  </sheetPr>
  <dimension ref="A1:X93"/>
  <sheetViews>
    <sheetView view="pageBreakPreview" topLeftCell="L13" zoomScaleNormal="100" zoomScaleSheetLayoutView="100" workbookViewId="0">
      <selection activeCell="G7" sqref="A7:M17"/>
    </sheetView>
  </sheetViews>
  <sheetFormatPr defaultRowHeight="12.75"/>
  <cols>
    <col min="1" max="1" width="48.5703125" style="1290" customWidth="1"/>
    <col min="2" max="6" width="14.7109375" style="1290" customWidth="1"/>
    <col min="7" max="7" width="46.85546875" style="1290" customWidth="1"/>
    <col min="8" max="8" width="14.7109375" style="1290" customWidth="1"/>
    <col min="9" max="12" width="9.140625" style="1290"/>
    <col min="13" max="13" width="45.42578125" style="1290" customWidth="1"/>
    <col min="14" max="14" width="13.42578125" style="1290" customWidth="1"/>
    <col min="15" max="18" width="13.42578125" style="1060" customWidth="1"/>
    <col min="19" max="19" width="30.140625" style="1060" customWidth="1"/>
    <col min="20" max="16384" width="9.140625" style="1060"/>
  </cols>
  <sheetData>
    <row r="1" spans="1:19" ht="15.75">
      <c r="A1" s="79" t="s">
        <v>724</v>
      </c>
    </row>
    <row r="2" spans="1:19" ht="30.75" customHeight="1">
      <c r="A2" s="1894" t="s">
        <v>1881</v>
      </c>
      <c r="B2" s="1894"/>
      <c r="C2" s="1894"/>
      <c r="D2" s="1894"/>
      <c r="E2" s="1894"/>
      <c r="F2" s="1894"/>
    </row>
    <row r="3" spans="1:19">
      <c r="A3" s="1291"/>
    </row>
    <row r="4" spans="1:19">
      <c r="A4" s="1291"/>
    </row>
    <row r="6" spans="1:19">
      <c r="A6" s="1292" t="s">
        <v>310</v>
      </c>
      <c r="G6" s="1292" t="s">
        <v>311</v>
      </c>
      <c r="M6" s="1292" t="s">
        <v>312</v>
      </c>
      <c r="S6" s="1063" t="s">
        <v>313</v>
      </c>
    </row>
    <row r="8" spans="1:19" ht="13.5">
      <c r="M8" s="1293" t="s">
        <v>314</v>
      </c>
      <c r="S8" s="1294" t="s">
        <v>315</v>
      </c>
    </row>
    <row r="9" spans="1:19" ht="13.5">
      <c r="A9" s="1293" t="s">
        <v>316</v>
      </c>
      <c r="G9" s="1293" t="s">
        <v>316</v>
      </c>
      <c r="M9" s="1293" t="s">
        <v>316</v>
      </c>
    </row>
    <row r="10" spans="1:19" ht="13.5">
      <c r="S10" s="1294" t="s">
        <v>317</v>
      </c>
    </row>
    <row r="11" spans="1:19" ht="13.5">
      <c r="A11" s="1293" t="s">
        <v>318</v>
      </c>
      <c r="G11" s="1293" t="s">
        <v>318</v>
      </c>
      <c r="M11" s="1293" t="s">
        <v>318</v>
      </c>
    </row>
    <row r="12" spans="1:19" ht="13.5">
      <c r="S12" s="1294" t="s">
        <v>319</v>
      </c>
    </row>
    <row r="14" spans="1:19" ht="25.5">
      <c r="A14" s="1295" t="s">
        <v>320</v>
      </c>
      <c r="B14" s="1895" t="s">
        <v>321</v>
      </c>
      <c r="C14" s="1896"/>
      <c r="D14" s="1295" t="s">
        <v>322</v>
      </c>
      <c r="E14" s="1295" t="s">
        <v>323</v>
      </c>
      <c r="F14" s="1295" t="s">
        <v>324</v>
      </c>
      <c r="G14" s="1295" t="s">
        <v>325</v>
      </c>
      <c r="H14" s="1895" t="s">
        <v>321</v>
      </c>
      <c r="I14" s="1896"/>
      <c r="J14" s="1295" t="s">
        <v>322</v>
      </c>
      <c r="K14" s="1295" t="s">
        <v>323</v>
      </c>
      <c r="L14" s="1295" t="s">
        <v>324</v>
      </c>
      <c r="M14" s="1295" t="s">
        <v>325</v>
      </c>
      <c r="N14" s="1296" t="s">
        <v>321</v>
      </c>
      <c r="O14" s="1297"/>
      <c r="P14" s="1298" t="s">
        <v>322</v>
      </c>
      <c r="Q14" s="1298" t="s">
        <v>323</v>
      </c>
      <c r="R14" s="1298" t="s">
        <v>324</v>
      </c>
      <c r="S14" s="1299"/>
    </row>
    <row r="15" spans="1:19" ht="25.5">
      <c r="A15" s="1300"/>
      <c r="B15" s="1295" t="s">
        <v>326</v>
      </c>
      <c r="C15" s="1295" t="s">
        <v>327</v>
      </c>
      <c r="D15" s="1300"/>
      <c r="E15" s="1300"/>
      <c r="F15" s="1300"/>
      <c r="G15" s="1300"/>
      <c r="H15" s="1295" t="s">
        <v>326</v>
      </c>
      <c r="I15" s="1295" t="s">
        <v>327</v>
      </c>
      <c r="J15" s="1300"/>
      <c r="K15" s="1300"/>
      <c r="L15" s="1300"/>
      <c r="M15" s="1300"/>
      <c r="N15" s="1295" t="s">
        <v>326</v>
      </c>
      <c r="O15" s="1298" t="s">
        <v>327</v>
      </c>
      <c r="P15" s="1301"/>
      <c r="Q15" s="1301"/>
      <c r="R15" s="1301"/>
    </row>
    <row r="16" spans="1:19">
      <c r="A16" s="1295">
        <v>1</v>
      </c>
      <c r="B16" s="1295">
        <v>2</v>
      </c>
      <c r="C16" s="1295">
        <v>3</v>
      </c>
      <c r="D16" s="1295">
        <v>4</v>
      </c>
      <c r="E16" s="1295">
        <v>5</v>
      </c>
      <c r="F16" s="1295">
        <v>6</v>
      </c>
      <c r="G16" s="1295">
        <v>1</v>
      </c>
      <c r="H16" s="1295">
        <v>2</v>
      </c>
      <c r="I16" s="1295">
        <v>3</v>
      </c>
      <c r="J16" s="1295">
        <v>4</v>
      </c>
      <c r="K16" s="1295">
        <v>5</v>
      </c>
      <c r="L16" s="1295">
        <v>6</v>
      </c>
      <c r="M16" s="1295">
        <v>1</v>
      </c>
      <c r="N16" s="1295">
        <v>2</v>
      </c>
      <c r="O16" s="1298">
        <v>3</v>
      </c>
      <c r="P16" s="1298">
        <v>4</v>
      </c>
      <c r="Q16" s="1298">
        <v>5</v>
      </c>
      <c r="R16" s="1298">
        <v>6</v>
      </c>
    </row>
    <row r="17" spans="1:24" ht="39.75" customHeight="1">
      <c r="A17" s="1302" t="s">
        <v>328</v>
      </c>
      <c r="B17" s="1295" t="s">
        <v>3568</v>
      </c>
      <c r="C17" s="1295" t="s">
        <v>3568</v>
      </c>
      <c r="D17" s="1295" t="s">
        <v>3568</v>
      </c>
      <c r="E17" s="1295" t="s">
        <v>3568</v>
      </c>
      <c r="F17" s="1300"/>
      <c r="G17" s="1302" t="s">
        <v>329</v>
      </c>
      <c r="H17" s="1295" t="s">
        <v>3568</v>
      </c>
      <c r="I17" s="1295" t="s">
        <v>3568</v>
      </c>
      <c r="J17" s="1295" t="s">
        <v>3568</v>
      </c>
      <c r="K17" s="1295" t="s">
        <v>3568</v>
      </c>
      <c r="L17" s="1300"/>
      <c r="M17" s="1302" t="s">
        <v>330</v>
      </c>
      <c r="N17" s="1300">
        <v>0</v>
      </c>
      <c r="O17" s="1301">
        <v>1</v>
      </c>
      <c r="P17" s="1303">
        <f>IF((N17+O17)=0,100,IF(O17=0,120,N17/O17*100))</f>
        <v>0</v>
      </c>
      <c r="Q17" s="1298" t="s">
        <v>331</v>
      </c>
      <c r="R17" s="1301">
        <f>IF(Q17="прямая",IF(P17&lt;80,3,IF(P17&gt;120,1,2)),IF(P17&gt;120,3,IF(P17&lt;80,1,2)))</f>
        <v>3</v>
      </c>
      <c r="S17" s="1294" t="s">
        <v>332</v>
      </c>
    </row>
    <row r="18" spans="1:24" ht="25.5">
      <c r="A18" s="1302" t="s">
        <v>333</v>
      </c>
      <c r="B18" s="1300"/>
      <c r="C18" s="1300"/>
      <c r="D18" s="1300"/>
      <c r="E18" s="1300"/>
      <c r="F18" s="1300"/>
      <c r="G18" s="1302" t="s">
        <v>333</v>
      </c>
      <c r="H18" s="1300"/>
      <c r="I18" s="1300"/>
      <c r="J18" s="1300"/>
      <c r="K18" s="1300"/>
      <c r="L18" s="1300"/>
      <c r="M18" s="1302" t="s">
        <v>334</v>
      </c>
      <c r="N18" s="1295" t="s">
        <v>3568</v>
      </c>
      <c r="O18" s="1298" t="s">
        <v>3568</v>
      </c>
      <c r="P18" s="1298" t="s">
        <v>3568</v>
      </c>
      <c r="Q18" s="1298" t="s">
        <v>3568</v>
      </c>
      <c r="R18" s="1301"/>
    </row>
    <row r="19" spans="1:24" ht="66" customHeight="1">
      <c r="A19" s="1302" t="s">
        <v>335</v>
      </c>
      <c r="B19" s="1304">
        <v>33</v>
      </c>
      <c r="C19" s="1304">
        <v>66</v>
      </c>
      <c r="D19" s="1300">
        <f>IF((B19+C19)=0,100,IF(C19=0,120,B19/C19*100))</f>
        <v>50</v>
      </c>
      <c r="E19" s="1295" t="s">
        <v>331</v>
      </c>
      <c r="F19" s="1300">
        <f>IF(E19="прямая",IF(D19&lt;80,3,IF(D19&gt;120,1,2)),IF(D19&gt;120,3,IF(D19&lt;80,1,2)))</f>
        <v>3</v>
      </c>
      <c r="G19" s="1302" t="s">
        <v>336</v>
      </c>
      <c r="H19" s="1300">
        <v>30</v>
      </c>
      <c r="I19" s="1300">
        <v>30</v>
      </c>
      <c r="J19" s="1304">
        <f>IF((H19+I19)=0,100,IF(I19=0,120,H19/I19*100))</f>
        <v>100</v>
      </c>
      <c r="K19" s="1295" t="s">
        <v>337</v>
      </c>
      <c r="L19" s="1300">
        <f>IF(K19="прямая",IF(J19&lt;80,0.75,IF(J19&gt;120,0.25,0.5)),IF(J19&gt;120,0.75,IF(J19&lt;80,0.25,0.5)))</f>
        <v>0.5</v>
      </c>
      <c r="M19" s="1302" t="s">
        <v>333</v>
      </c>
      <c r="N19" s="1300"/>
      <c r="O19" s="1301"/>
      <c r="P19" s="1301"/>
      <c r="Q19" s="1301"/>
      <c r="R19" s="1301"/>
      <c r="S19" s="1294" t="s">
        <v>318</v>
      </c>
    </row>
    <row r="20" spans="1:24" ht="63.75">
      <c r="A20" s="1302" t="s">
        <v>338</v>
      </c>
      <c r="B20" s="1300">
        <f>SUM(B22:B25)</f>
        <v>3</v>
      </c>
      <c r="C20" s="1300">
        <f>SUM(C22:C25)</f>
        <v>3</v>
      </c>
      <c r="D20" s="1300">
        <f>IF((B20+C20)=0,100,IF(C20=0,120,B20/C20*100))</f>
        <v>100</v>
      </c>
      <c r="E20" s="1295" t="s">
        <v>331</v>
      </c>
      <c r="F20" s="1300">
        <f>IF(E20="прямая",IF(D20&lt;80,3,IF(D20&gt;120,1,2)),IF(D20&gt;120,3,IF(D20&lt;80,1,2)))</f>
        <v>2</v>
      </c>
      <c r="G20" s="1302" t="s">
        <v>339</v>
      </c>
      <c r="H20" s="1295" t="s">
        <v>3568</v>
      </c>
      <c r="I20" s="1295" t="s">
        <v>3568</v>
      </c>
      <c r="J20" s="1304">
        <f>J21</f>
        <v>100</v>
      </c>
      <c r="K20" s="1295" t="s">
        <v>337</v>
      </c>
      <c r="L20" s="1300">
        <f>IF(K20="прямая",IF(J20&lt;80,0.75,IF(J20&gt;120,0.25,0.5)),IF(J20&gt;120,0.75,IF(J20&lt;80,0.25,0.5)))</f>
        <v>0.5</v>
      </c>
      <c r="M20" s="1302" t="s">
        <v>340</v>
      </c>
      <c r="N20" s="1300">
        <v>0</v>
      </c>
      <c r="O20" s="1301">
        <v>0</v>
      </c>
      <c r="P20" s="1303">
        <f t="shared" ref="P20:P25" si="0">IF((N20+O20)=0,100,IF(O20=0,120,N20/O20*100))</f>
        <v>100</v>
      </c>
      <c r="Q20" s="1298" t="s">
        <v>337</v>
      </c>
      <c r="R20" s="1301">
        <f>IF(Q20="прямая",IF(P20&lt;80,3,IF(P20&gt;120,1,2)),IF(P20&gt;120,3,IF(P20&lt;80,1,2)))</f>
        <v>2</v>
      </c>
    </row>
    <row r="21" spans="1:24" ht="76.5">
      <c r="A21" s="1302" t="s">
        <v>4837</v>
      </c>
      <c r="B21" s="1300"/>
      <c r="C21" s="1300"/>
      <c r="D21" s="1300"/>
      <c r="E21" s="1300"/>
      <c r="F21" s="1300"/>
      <c r="G21" s="1302" t="s">
        <v>341</v>
      </c>
      <c r="H21" s="1300">
        <v>0</v>
      </c>
      <c r="I21" s="1300">
        <v>0</v>
      </c>
      <c r="J21" s="1304">
        <f>IF((H21+I21)=0,100,IF(I21=0,120,H21/I21*100))</f>
        <v>100</v>
      </c>
      <c r="K21" s="1295" t="s">
        <v>3568</v>
      </c>
      <c r="L21" s="1295" t="s">
        <v>3568</v>
      </c>
      <c r="M21" s="1302" t="s">
        <v>1980</v>
      </c>
      <c r="N21" s="1300">
        <v>0</v>
      </c>
      <c r="O21" s="1301">
        <v>0</v>
      </c>
      <c r="P21" s="1303">
        <f t="shared" si="0"/>
        <v>100</v>
      </c>
      <c r="Q21" s="1298" t="s">
        <v>331</v>
      </c>
      <c r="R21" s="1301">
        <f>IF(Q21="прямая",IF(P21&lt;80,3,IF(P21&gt;120,1,2)),IF(P21&gt;120,3,IF(P21&lt;80,1,2)))</f>
        <v>2</v>
      </c>
    </row>
    <row r="22" spans="1:24" ht="67.5" customHeight="1">
      <c r="A22" s="1302" t="s">
        <v>1981</v>
      </c>
      <c r="B22" s="1300">
        <v>0</v>
      </c>
      <c r="C22" s="1300">
        <v>0</v>
      </c>
      <c r="D22" s="1300">
        <f>IF((B22+C22)=0,100,IF(C22=0,120,B22/C22*100))</f>
        <v>100</v>
      </c>
      <c r="E22" s="1295" t="s">
        <v>3568</v>
      </c>
      <c r="F22" s="1295" t="s">
        <v>3568</v>
      </c>
      <c r="G22" s="1302" t="s">
        <v>1982</v>
      </c>
      <c r="H22" s="1300">
        <v>0</v>
      </c>
      <c r="I22" s="1300">
        <v>0</v>
      </c>
      <c r="J22" s="1304">
        <f>IF((H22+I22)=0,100,IF(I22=0,120,H22/I22*100))</f>
        <v>100</v>
      </c>
      <c r="K22" s="1295" t="s">
        <v>3568</v>
      </c>
      <c r="L22" s="1295" t="s">
        <v>3568</v>
      </c>
      <c r="M22" s="1302" t="s">
        <v>1983</v>
      </c>
      <c r="N22" s="1300">
        <v>0</v>
      </c>
      <c r="O22" s="1301">
        <v>0</v>
      </c>
      <c r="P22" s="1303">
        <f t="shared" si="0"/>
        <v>100</v>
      </c>
      <c r="Q22" s="1298" t="s">
        <v>337</v>
      </c>
      <c r="R22" s="1298" t="s">
        <v>3568</v>
      </c>
      <c r="S22" s="1298" t="s">
        <v>1984</v>
      </c>
      <c r="T22" s="1897" t="s">
        <v>1985</v>
      </c>
      <c r="U22" s="1898"/>
      <c r="V22" s="1898"/>
      <c r="W22" s="1898"/>
      <c r="X22" s="1899"/>
    </row>
    <row r="23" spans="1:24" ht="90.75" customHeight="1">
      <c r="A23" s="1302" t="s">
        <v>1986</v>
      </c>
      <c r="B23" s="1300">
        <v>0</v>
      </c>
      <c r="C23" s="1300">
        <v>0</v>
      </c>
      <c r="D23" s="1300">
        <f>IF((B23+C23)=0,100,IF(C23=0,120,B23/C23*100))</f>
        <v>100</v>
      </c>
      <c r="E23" s="1295" t="s">
        <v>3568</v>
      </c>
      <c r="F23" s="1295" t="s">
        <v>3568</v>
      </c>
      <c r="G23" s="1302" t="s">
        <v>1987</v>
      </c>
      <c r="H23" s="1300">
        <v>0</v>
      </c>
      <c r="I23" s="1300">
        <v>0</v>
      </c>
      <c r="J23" s="1304">
        <f>IF((H23+I23)=0,100,IF(I23=0,120,H23/I23*100))</f>
        <v>100</v>
      </c>
      <c r="K23" s="1295" t="s">
        <v>337</v>
      </c>
      <c r="L23" s="1300">
        <f>IF(K23="прямая",IF(J23&lt;80,0.75,IF(J23&gt;120,0.25,0.5)),IF(J23&gt;120,0.75,IF(J23&lt;80,0.25,0.5)))</f>
        <v>0.5</v>
      </c>
      <c r="M23" s="1302" t="s">
        <v>1988</v>
      </c>
      <c r="N23" s="1300">
        <v>0</v>
      </c>
      <c r="O23" s="1301">
        <v>0</v>
      </c>
      <c r="P23" s="1303">
        <f t="shared" si="0"/>
        <v>100</v>
      </c>
      <c r="Q23" s="1298" t="s">
        <v>337</v>
      </c>
      <c r="R23" s="1301">
        <f>IF(Q23="прямая",IF(P23&lt;80,3,IF(P23&gt;120,1,2)),IF(P23&gt;120,3,IF(P23&lt;80,1,2)))</f>
        <v>2</v>
      </c>
      <c r="S23" s="1302" t="s">
        <v>1989</v>
      </c>
      <c r="T23" s="1301"/>
      <c r="U23" s="1301"/>
      <c r="V23" s="1301"/>
      <c r="W23" s="1301"/>
      <c r="X23" s="1301"/>
    </row>
    <row r="24" spans="1:24" ht="96.75" customHeight="1">
      <c r="A24" s="1302" t="s">
        <v>1990</v>
      </c>
      <c r="B24" s="1300">
        <v>0</v>
      </c>
      <c r="C24" s="1300">
        <v>0</v>
      </c>
      <c r="D24" s="1300">
        <f>IF((B24+C24)=0,100,IF(C24=0,120,B24/C24*100))</f>
        <v>100</v>
      </c>
      <c r="E24" s="1295" t="s">
        <v>3568</v>
      </c>
      <c r="F24" s="1295" t="s">
        <v>3568</v>
      </c>
      <c r="G24" s="1302" t="s">
        <v>1991</v>
      </c>
      <c r="H24" s="1300">
        <f>H25</f>
        <v>0</v>
      </c>
      <c r="I24" s="1300">
        <f>I25</f>
        <v>0</v>
      </c>
      <c r="J24" s="1304">
        <f>IF((H24+I24)=0,100,IF(I24=0,120,H24/I24*100))</f>
        <v>100</v>
      </c>
      <c r="K24" s="1300"/>
      <c r="L24" s="1300">
        <f>IF(K24="прямая",IF(J24&lt;80,0.75,IF(J24&gt;120,0.25,0.5)),IF(J24&gt;120,0.75,IF(J24&lt;80,0.25,0.5)))</f>
        <v>0.5</v>
      </c>
      <c r="M24" s="1302" t="s">
        <v>345</v>
      </c>
      <c r="N24" s="1300">
        <v>0</v>
      </c>
      <c r="O24" s="1301">
        <v>0</v>
      </c>
      <c r="P24" s="1303">
        <f t="shared" si="0"/>
        <v>100</v>
      </c>
      <c r="Q24" s="1298" t="s">
        <v>331</v>
      </c>
      <c r="R24" s="1301">
        <f>IF(Q24="прямая",IF(P24&lt;80,3,IF(P24&gt;120,1,2)),IF(P24&gt;120,3,IF(P24&lt;80,1,2)))</f>
        <v>2</v>
      </c>
      <c r="S24" s="1301"/>
      <c r="T24" s="1301"/>
      <c r="U24" s="1301"/>
      <c r="V24" s="1301"/>
      <c r="W24" s="1301"/>
      <c r="X24" s="1301"/>
    </row>
    <row r="25" spans="1:24" ht="90.75" customHeight="1">
      <c r="A25" s="1302" t="s">
        <v>2735</v>
      </c>
      <c r="B25" s="1300">
        <v>3</v>
      </c>
      <c r="C25" s="1300">
        <v>3</v>
      </c>
      <c r="D25" s="1300">
        <f>IF((B25+C25)=0,100,IF(C25=0,120,B25/C25*100))</f>
        <v>100</v>
      </c>
      <c r="E25" s="1295" t="s">
        <v>3568</v>
      </c>
      <c r="F25" s="1295" t="s">
        <v>3568</v>
      </c>
      <c r="G25" s="1302" t="s">
        <v>2736</v>
      </c>
      <c r="H25" s="1300">
        <v>0</v>
      </c>
      <c r="I25" s="1300">
        <v>0</v>
      </c>
      <c r="J25" s="1304">
        <f>IF((H25+I25)=0,100,IF(I25=0,120,H25/I25*100))</f>
        <v>100</v>
      </c>
      <c r="K25" s="1295" t="s">
        <v>337</v>
      </c>
      <c r="L25" s="1300">
        <f>IF(K25="прямая",IF(J25&lt;80,0.75,IF(J25&gt;120,0.25,0.5)),IF(J25&gt;120,0.75,IF(J25&lt;80,0.25,0.5)))</f>
        <v>0.5</v>
      </c>
      <c r="M25" s="1302" t="s">
        <v>2737</v>
      </c>
      <c r="N25" s="1300">
        <v>0</v>
      </c>
      <c r="O25" s="1301">
        <v>0</v>
      </c>
      <c r="P25" s="1303">
        <f t="shared" si="0"/>
        <v>100</v>
      </c>
      <c r="Q25" s="1298" t="s">
        <v>331</v>
      </c>
      <c r="R25" s="1301">
        <f>IF(Q25="прямая",IF(P25&lt;80,3,IF(P25&gt;120,1,2)),IF(P25&gt;120,3,IF(P25&lt;80,1,2)))</f>
        <v>2</v>
      </c>
      <c r="S25" s="1305" t="s">
        <v>4518</v>
      </c>
      <c r="T25" s="1301"/>
      <c r="U25" s="1301"/>
      <c r="V25" s="1301"/>
      <c r="W25" s="1301"/>
      <c r="X25" s="1301"/>
    </row>
    <row r="26" spans="1:24" ht="65.25" customHeight="1">
      <c r="A26" s="1302" t="s">
        <v>2738</v>
      </c>
      <c r="B26" s="1295" t="s">
        <v>3568</v>
      </c>
      <c r="C26" s="1295" t="s">
        <v>3568</v>
      </c>
      <c r="D26" s="1295" t="s">
        <v>3568</v>
      </c>
      <c r="E26" s="1295" t="s">
        <v>3568</v>
      </c>
      <c r="F26" s="1300"/>
      <c r="G26" s="1302" t="s">
        <v>2739</v>
      </c>
      <c r="H26" s="1295" t="s">
        <v>3568</v>
      </c>
      <c r="I26" s="1295" t="s">
        <v>3568</v>
      </c>
      <c r="J26" s="1295" t="s">
        <v>3568</v>
      </c>
      <c r="K26" s="1295" t="s">
        <v>3568</v>
      </c>
      <c r="L26" s="1300"/>
      <c r="M26" s="1302" t="s">
        <v>2740</v>
      </c>
      <c r="N26" s="1295" t="s">
        <v>3568</v>
      </c>
      <c r="O26" s="1298" t="s">
        <v>3568</v>
      </c>
      <c r="P26" s="1298" t="s">
        <v>3568</v>
      </c>
      <c r="Q26" s="1298" t="s">
        <v>3568</v>
      </c>
      <c r="R26" s="1301"/>
      <c r="S26" s="1305" t="s">
        <v>2741</v>
      </c>
      <c r="T26" s="1301"/>
      <c r="U26" s="1301"/>
      <c r="V26" s="1301"/>
      <c r="W26" s="1301"/>
      <c r="X26" s="1301"/>
    </row>
    <row r="27" spans="1:24" ht="51" customHeight="1">
      <c r="A27" s="1302" t="s">
        <v>333</v>
      </c>
      <c r="B27" s="1300"/>
      <c r="C27" s="1300"/>
      <c r="D27" s="1300"/>
      <c r="E27" s="1300"/>
      <c r="F27" s="1300"/>
      <c r="G27" s="1302" t="s">
        <v>333</v>
      </c>
      <c r="H27" s="1300"/>
      <c r="I27" s="1300"/>
      <c r="J27" s="1300"/>
      <c r="K27" s="1300"/>
      <c r="L27" s="1300"/>
      <c r="M27" s="1302" t="s">
        <v>333</v>
      </c>
      <c r="N27" s="1300"/>
      <c r="O27" s="1301"/>
      <c r="P27" s="1301"/>
      <c r="Q27" s="1301"/>
      <c r="R27" s="1301"/>
      <c r="S27" s="1305" t="s">
        <v>2742</v>
      </c>
      <c r="T27" s="1301"/>
      <c r="U27" s="1301"/>
      <c r="V27" s="1301"/>
      <c r="W27" s="1301"/>
      <c r="X27" s="1301"/>
    </row>
    <row r="28" spans="1:24" ht="63.75">
      <c r="A28" s="1302" t="s">
        <v>2743</v>
      </c>
      <c r="B28" s="1300">
        <v>1</v>
      </c>
      <c r="C28" s="1300">
        <v>1</v>
      </c>
      <c r="D28" s="1300">
        <f t="shared" ref="D28:D34" si="1">IF((B28+C28)=0,100,IF(C28=0,120,B28/C28*100))</f>
        <v>100</v>
      </c>
      <c r="E28" s="1295" t="s">
        <v>331</v>
      </c>
      <c r="F28" s="1300">
        <f t="shared" ref="F28:F33" si="2">IF(E28="прямая",IF(D28&lt;80,3,IF(D28&gt;120,1,2)),IF(D28&gt;120,3,IF(D28&lt;80,1,2)))</f>
        <v>2</v>
      </c>
      <c r="G28" s="1302" t="s">
        <v>2744</v>
      </c>
      <c r="H28" s="1300">
        <v>0</v>
      </c>
      <c r="I28" s="1300">
        <v>1</v>
      </c>
      <c r="J28" s="1304">
        <f>IF((H28+I28)=0,100,IF(I28=0,120,H28/I28*100))</f>
        <v>0</v>
      </c>
      <c r="K28" s="1295" t="s">
        <v>331</v>
      </c>
      <c r="L28" s="1300">
        <f>IF(K28="прямая",IF(J28&lt;80,0.75,IF(J28&gt;120,0.25,0.5)),IF(J28&gt;120,0.75,IF(J28&lt;80,0.25,0.5)))</f>
        <v>0.75</v>
      </c>
      <c r="M28" s="1302" t="s">
        <v>2745</v>
      </c>
      <c r="N28" s="1300">
        <v>0</v>
      </c>
      <c r="O28" s="1301">
        <v>0</v>
      </c>
      <c r="P28" s="1301"/>
      <c r="Q28" s="1298" t="s">
        <v>337</v>
      </c>
      <c r="R28" s="1301">
        <f>IF(Q28="прямая",IF(P28&lt;80,3,IF(P28&gt;120,1,2)),IF(P28&gt;120,3,IF(P28&lt;80,1,2)))</f>
        <v>1</v>
      </c>
      <c r="S28" s="1305" t="s">
        <v>2746</v>
      </c>
      <c r="T28" s="1301"/>
      <c r="U28" s="1301"/>
      <c r="V28" s="1301"/>
      <c r="W28" s="1301"/>
      <c r="X28" s="1301"/>
    </row>
    <row r="29" spans="1:24" ht="76.5">
      <c r="A29" s="1302" t="s">
        <v>2747</v>
      </c>
      <c r="B29" s="1300">
        <v>0</v>
      </c>
      <c r="C29" s="1300">
        <v>1</v>
      </c>
      <c r="D29" s="1300">
        <f t="shared" si="1"/>
        <v>0</v>
      </c>
      <c r="E29" s="1295" t="s">
        <v>331</v>
      </c>
      <c r="F29" s="1300">
        <f t="shared" si="2"/>
        <v>3</v>
      </c>
      <c r="G29" s="1302" t="s">
        <v>2748</v>
      </c>
      <c r="H29" s="1300">
        <v>0</v>
      </c>
      <c r="I29" s="1300">
        <v>0</v>
      </c>
      <c r="J29" s="1304">
        <f>IF((H29+I29)=0,100,IF(I29=0,120,H29/I29*100))</f>
        <v>100</v>
      </c>
      <c r="K29" s="1295" t="s">
        <v>337</v>
      </c>
      <c r="L29" s="1300">
        <f>IF(K29="прямая",IF(J29&lt;80,0.75,IF(J29&gt;120,0.25,0.5)),IF(J29&gt;120,0.75,IF(J29&lt;80,0.25,0.5)))</f>
        <v>0.5</v>
      </c>
      <c r="M29" s="1302" t="s">
        <v>2952</v>
      </c>
      <c r="N29" s="1295" t="s">
        <v>3568</v>
      </c>
      <c r="O29" s="1298" t="s">
        <v>3568</v>
      </c>
      <c r="P29" s="1301"/>
      <c r="Q29" s="1298" t="s">
        <v>331</v>
      </c>
      <c r="R29" s="1301">
        <f>IF(Q29="прямая",IF(P29&lt;80,3,IF(P29&gt;120,1,2)),IF(P29&gt;120,3,IF(P29&lt;80,1,2)))</f>
        <v>3</v>
      </c>
      <c r="S29" s="1305" t="s">
        <v>2953</v>
      </c>
      <c r="T29" s="1301"/>
      <c r="U29" s="1301"/>
      <c r="V29" s="1301"/>
      <c r="W29" s="1301"/>
      <c r="X29" s="1301"/>
    </row>
    <row r="30" spans="1:24" ht="51">
      <c r="A30" s="1302" t="s">
        <v>2954</v>
      </c>
      <c r="B30" s="1300">
        <v>0</v>
      </c>
      <c r="C30" s="1300">
        <v>1</v>
      </c>
      <c r="D30" s="1300">
        <f t="shared" si="1"/>
        <v>0</v>
      </c>
      <c r="E30" s="1295" t="s">
        <v>331</v>
      </c>
      <c r="F30" s="1300">
        <f t="shared" si="2"/>
        <v>3</v>
      </c>
      <c r="G30" s="1302" t="s">
        <v>2955</v>
      </c>
      <c r="H30" s="1300">
        <f>H31</f>
        <v>0</v>
      </c>
      <c r="I30" s="1300">
        <f>I31</f>
        <v>0</v>
      </c>
      <c r="J30" s="1304">
        <f>J31</f>
        <v>100</v>
      </c>
      <c r="K30" s="1295" t="s">
        <v>337</v>
      </c>
      <c r="L30" s="1300">
        <f>IF(K30="прямая",IF(J30&lt;80,0.3,IF(J30&gt;120,0.1,0.2)),IF(J30&gt;120,0.3,IF(J30&lt;80,0.1,0.2)))</f>
        <v>0.2</v>
      </c>
      <c r="M30" s="1302" t="s">
        <v>2956</v>
      </c>
      <c r="N30" s="1300">
        <v>0</v>
      </c>
      <c r="O30" s="1301">
        <v>0</v>
      </c>
      <c r="P30" s="1303">
        <f>IF((N30+O30)=0,100,IF(O30=0,120,N30/O30*100))</f>
        <v>100</v>
      </c>
      <c r="Q30" s="1298" t="s">
        <v>3568</v>
      </c>
      <c r="R30" s="1298" t="s">
        <v>3568</v>
      </c>
      <c r="S30" s="1306" t="s">
        <v>2372</v>
      </c>
      <c r="T30" s="1301"/>
      <c r="U30" s="1301"/>
      <c r="V30" s="1301"/>
      <c r="W30" s="1301"/>
      <c r="X30" s="1301"/>
    </row>
    <row r="31" spans="1:24" ht="66.75" customHeight="1">
      <c r="A31" s="1302" t="s">
        <v>2957</v>
      </c>
      <c r="B31" s="1300">
        <v>1</v>
      </c>
      <c r="C31" s="1300">
        <v>1</v>
      </c>
      <c r="D31" s="1300">
        <f t="shared" si="1"/>
        <v>100</v>
      </c>
      <c r="E31" s="1295" t="s">
        <v>331</v>
      </c>
      <c r="F31" s="1300">
        <f t="shared" si="2"/>
        <v>2</v>
      </c>
      <c r="G31" s="1302" t="s">
        <v>2958</v>
      </c>
      <c r="H31" s="1300">
        <v>0</v>
      </c>
      <c r="I31" s="1300">
        <v>0</v>
      </c>
      <c r="J31" s="1304">
        <f>IF((H31+I31)=0,100,IF(I31=0,120,H31/I31*100))</f>
        <v>100</v>
      </c>
      <c r="K31" s="1300"/>
      <c r="L31" s="1300"/>
      <c r="M31" s="1302" t="s">
        <v>2959</v>
      </c>
      <c r="N31" s="1300">
        <v>0</v>
      </c>
      <c r="O31" s="1301">
        <v>0</v>
      </c>
      <c r="P31" s="1303">
        <f>IF((N31+O31)=0,100,IF(O31=0,120,N31/O31*100))</f>
        <v>100</v>
      </c>
      <c r="Q31" s="1298" t="s">
        <v>3568</v>
      </c>
      <c r="R31" s="1298" t="s">
        <v>3568</v>
      </c>
      <c r="S31" s="1306" t="s">
        <v>3732</v>
      </c>
      <c r="T31" s="1301"/>
      <c r="U31" s="1301"/>
      <c r="V31" s="1301"/>
      <c r="W31" s="1301"/>
      <c r="X31" s="1301"/>
    </row>
    <row r="32" spans="1:24" ht="76.5">
      <c r="A32" s="1302" t="s">
        <v>2960</v>
      </c>
      <c r="B32" s="1300">
        <v>0</v>
      </c>
      <c r="C32" s="1300">
        <v>1</v>
      </c>
      <c r="D32" s="1300">
        <f t="shared" si="1"/>
        <v>0</v>
      </c>
      <c r="E32" s="1295" t="s">
        <v>331</v>
      </c>
      <c r="F32" s="1300">
        <f t="shared" si="2"/>
        <v>3</v>
      </c>
      <c r="G32" s="1302" t="s">
        <v>2961</v>
      </c>
      <c r="H32" s="1295" t="s">
        <v>3568</v>
      </c>
      <c r="I32" s="1295" t="s">
        <v>3568</v>
      </c>
      <c r="J32" s="1295" t="s">
        <v>3568</v>
      </c>
      <c r="K32" s="1295" t="s">
        <v>3568</v>
      </c>
      <c r="L32" s="1307">
        <f>AVERAGE(L19:L30)</f>
        <v>0.49375000000000002</v>
      </c>
      <c r="M32" s="1302" t="s">
        <v>2962</v>
      </c>
      <c r="N32" s="1300"/>
      <c r="O32" s="1301"/>
      <c r="P32" s="1301"/>
      <c r="Q32" s="1298" t="s">
        <v>3568</v>
      </c>
      <c r="R32" s="1298" t="s">
        <v>3568</v>
      </c>
      <c r="S32" s="1306" t="s">
        <v>3734</v>
      </c>
      <c r="T32" s="1301"/>
      <c r="U32" s="1301"/>
      <c r="V32" s="1301"/>
      <c r="W32" s="1301"/>
      <c r="X32" s="1301"/>
    </row>
    <row r="33" spans="1:24" ht="38.25">
      <c r="A33" s="1302" t="s">
        <v>2963</v>
      </c>
      <c r="B33" s="1300">
        <f>B34</f>
        <v>0</v>
      </c>
      <c r="C33" s="1300">
        <f>C34</f>
        <v>0</v>
      </c>
      <c r="D33" s="1300">
        <f t="shared" si="1"/>
        <v>100</v>
      </c>
      <c r="E33" s="1295" t="s">
        <v>337</v>
      </c>
      <c r="F33" s="1300">
        <f t="shared" si="2"/>
        <v>2</v>
      </c>
      <c r="G33" s="1293" t="s">
        <v>316</v>
      </c>
      <c r="M33" s="1302" t="s">
        <v>2964</v>
      </c>
      <c r="N33" s="1300">
        <f>N34</f>
        <v>0</v>
      </c>
      <c r="O33" s="1301">
        <f>O34</f>
        <v>0</v>
      </c>
      <c r="P33" s="1303">
        <f>IF((N33+O33)=0,100,IF(O33=0,120,N33/O33*100))</f>
        <v>100</v>
      </c>
      <c r="Q33" s="1298" t="s">
        <v>337</v>
      </c>
      <c r="R33" s="1301">
        <f>IF(Q33="прямая",IF(P33&lt;80,3,IF(P33&gt;120,1,2)),IF(P33&gt;120,3,IF(P33&lt;80,1,2)))</f>
        <v>2</v>
      </c>
      <c r="S33" s="1306" t="s">
        <v>3783</v>
      </c>
      <c r="T33" s="1301"/>
      <c r="U33" s="1301"/>
      <c r="V33" s="1301"/>
      <c r="W33" s="1301"/>
      <c r="X33" s="1301"/>
    </row>
    <row r="34" spans="1:24" ht="76.5">
      <c r="A34" s="1302" t="s">
        <v>2965</v>
      </c>
      <c r="B34" s="1300">
        <v>0</v>
      </c>
      <c r="C34" s="1300">
        <v>0</v>
      </c>
      <c r="D34" s="1300">
        <f t="shared" si="1"/>
        <v>100</v>
      </c>
      <c r="E34" s="1300"/>
      <c r="F34" s="1300"/>
      <c r="G34" s="1308" t="s">
        <v>2966</v>
      </c>
      <c r="M34" s="1302" t="s">
        <v>2967</v>
      </c>
      <c r="N34" s="1300">
        <v>0</v>
      </c>
      <c r="O34" s="1301">
        <v>0</v>
      </c>
      <c r="P34" s="1303">
        <f>IF((N34+O34)=0,100,IF(O34=0,120,N34/O34*100))</f>
        <v>100</v>
      </c>
      <c r="Q34" s="1301"/>
      <c r="R34" s="1301"/>
      <c r="S34" s="1306" t="s">
        <v>3761</v>
      </c>
      <c r="T34" s="1301"/>
      <c r="U34" s="1301"/>
      <c r="V34" s="1301"/>
      <c r="W34" s="1301"/>
      <c r="X34" s="1301"/>
    </row>
    <row r="35" spans="1:24" ht="63.75">
      <c r="A35" s="1302" t="s">
        <v>2968</v>
      </c>
      <c r="B35" s="1295" t="s">
        <v>3568</v>
      </c>
      <c r="C35" s="1295" t="s">
        <v>3568</v>
      </c>
      <c r="D35" s="1295" t="s">
        <v>3568</v>
      </c>
      <c r="E35" s="1295" t="s">
        <v>3568</v>
      </c>
      <c r="F35" s="1300"/>
      <c r="M35" s="1302" t="s">
        <v>2969</v>
      </c>
      <c r="N35" s="1295" t="s">
        <v>3568</v>
      </c>
      <c r="O35" s="1298" t="s">
        <v>3568</v>
      </c>
      <c r="P35" s="1298" t="s">
        <v>3568</v>
      </c>
      <c r="Q35" s="1298" t="s">
        <v>3568</v>
      </c>
      <c r="R35" s="1301"/>
      <c r="S35" s="1306" t="s">
        <v>3788</v>
      </c>
      <c r="T35" s="1301"/>
      <c r="U35" s="1301"/>
      <c r="V35" s="1301"/>
      <c r="W35" s="1301"/>
      <c r="X35" s="1301"/>
    </row>
    <row r="36" spans="1:24" ht="57" customHeight="1">
      <c r="A36" s="1302" t="s">
        <v>333</v>
      </c>
      <c r="B36" s="1300"/>
      <c r="C36" s="1300"/>
      <c r="D36" s="1300"/>
      <c r="E36" s="1300"/>
      <c r="F36" s="1300"/>
      <c r="M36" s="1302" t="s">
        <v>333</v>
      </c>
      <c r="N36" s="1300"/>
      <c r="O36" s="1301"/>
      <c r="P36" s="1301"/>
      <c r="Q36" s="1301"/>
      <c r="R36" s="1301"/>
      <c r="S36" s="1306" t="s">
        <v>2970</v>
      </c>
      <c r="T36" s="1301"/>
      <c r="U36" s="1301"/>
      <c r="V36" s="1301"/>
      <c r="W36" s="1301"/>
      <c r="X36" s="1301"/>
    </row>
    <row r="37" spans="1:24" ht="65.25" customHeight="1">
      <c r="A37" s="1302" t="s">
        <v>1357</v>
      </c>
      <c r="B37" s="1300">
        <v>0</v>
      </c>
      <c r="C37" s="1300">
        <v>0</v>
      </c>
      <c r="D37" s="1300">
        <f>IF((B37+C37)=0,100,IF(C37=0,120,B37/C37*100))</f>
        <v>100</v>
      </c>
      <c r="E37" s="1295" t="s">
        <v>337</v>
      </c>
      <c r="F37" s="1300">
        <f>IF(E37="прямая",IF(D37&lt;80,3,IF(D37&gt;120,1,2)),IF(D37&gt;120,3,IF(D37&lt;80,1,2)))</f>
        <v>2</v>
      </c>
      <c r="M37" s="1302" t="s">
        <v>1358</v>
      </c>
      <c r="N37" s="1300">
        <v>0</v>
      </c>
      <c r="O37" s="1301">
        <v>0</v>
      </c>
      <c r="P37" s="1303">
        <f>IF((N37+O37)=0,100,IF(O37=0,120,N37/O37*100))</f>
        <v>100</v>
      </c>
      <c r="Q37" s="1298" t="s">
        <v>337</v>
      </c>
      <c r="R37" s="1301">
        <f>IF(Q37="прямая",IF(P37&lt;80,3,IF(P37&gt;120,1,2)),IF(P37&gt;120,3,IF(P37&lt;80,1,2)))</f>
        <v>2</v>
      </c>
      <c r="S37" s="1306" t="s">
        <v>1359</v>
      </c>
      <c r="T37" s="1301"/>
      <c r="U37" s="1301"/>
      <c r="V37" s="1301"/>
      <c r="W37" s="1301"/>
      <c r="X37" s="1301"/>
    </row>
    <row r="38" spans="1:24" ht="76.5">
      <c r="A38" s="1302" t="s">
        <v>1360</v>
      </c>
      <c r="B38" s="1300">
        <v>0</v>
      </c>
      <c r="C38" s="1300">
        <v>0</v>
      </c>
      <c r="D38" s="1300">
        <f>IF((B38+C38)=0,100,IF(C38=0,120,B38/C38*100))</f>
        <v>100</v>
      </c>
      <c r="E38" s="1295" t="s">
        <v>337</v>
      </c>
      <c r="F38" s="1300">
        <f>IF(E38="прямая",IF(D38&lt;80,3,IF(D38&gt;120,1,2)),IF(D38&gt;120,3,IF(D38&lt;80,1,2)))</f>
        <v>2</v>
      </c>
      <c r="M38" s="1302" t="s">
        <v>1361</v>
      </c>
      <c r="N38" s="1300">
        <v>0</v>
      </c>
      <c r="O38" s="1301">
        <v>0</v>
      </c>
      <c r="P38" s="1303">
        <f>IF((N38+O38)=0,100,IF(O38=0,120,N38/O38*100))</f>
        <v>100</v>
      </c>
      <c r="Q38" s="1298" t="s">
        <v>331</v>
      </c>
      <c r="R38" s="1301">
        <f>IF(Q38="прямая",IF(P38&lt;80,3,IF(P38&gt;120,1,2)),IF(P38&gt;120,3,IF(P38&lt;80,1,2)))</f>
        <v>2</v>
      </c>
      <c r="S38" s="1301"/>
      <c r="T38" s="1301"/>
      <c r="U38" s="1301"/>
      <c r="V38" s="1301"/>
      <c r="W38" s="1301"/>
      <c r="X38" s="1301"/>
    </row>
    <row r="39" spans="1:24" ht="55.5" customHeight="1">
      <c r="A39" s="1302" t="s">
        <v>1362</v>
      </c>
      <c r="B39" s="1295" t="s">
        <v>3568</v>
      </c>
      <c r="C39" s="1295" t="s">
        <v>3568</v>
      </c>
      <c r="D39" s="1295" t="s">
        <v>3568</v>
      </c>
      <c r="E39" s="1295" t="s">
        <v>3568</v>
      </c>
      <c r="F39" s="1300">
        <f>AVERAGE(F17:F38)</f>
        <v>2.4</v>
      </c>
      <c r="M39" s="1302" t="s">
        <v>1363</v>
      </c>
      <c r="N39" s="1295" t="s">
        <v>3568</v>
      </c>
      <c r="O39" s="1298" t="s">
        <v>3568</v>
      </c>
      <c r="P39" s="1298" t="s">
        <v>3568</v>
      </c>
      <c r="Q39" s="1298" t="s">
        <v>3568</v>
      </c>
      <c r="R39" s="1309">
        <f>AVERAGE(R17:R38)</f>
        <v>2.0909090909090908</v>
      </c>
      <c r="S39" s="1305" t="s">
        <v>4518</v>
      </c>
      <c r="T39" s="1301"/>
      <c r="U39" s="1301"/>
      <c r="V39" s="1301"/>
      <c r="W39" s="1301"/>
      <c r="X39" s="1301"/>
    </row>
    <row r="40" spans="1:24" ht="16.5" customHeight="1">
      <c r="M40" s="1292" t="s">
        <v>1364</v>
      </c>
      <c r="S40" s="1306" t="s">
        <v>2741</v>
      </c>
      <c r="T40" s="1301"/>
      <c r="U40" s="1301"/>
      <c r="V40" s="1301"/>
      <c r="W40" s="1301"/>
      <c r="X40" s="1301"/>
    </row>
    <row r="41" spans="1:24">
      <c r="M41" s="1292" t="s">
        <v>1365</v>
      </c>
      <c r="S41" s="1306" t="s">
        <v>2742</v>
      </c>
      <c r="T41" s="1301"/>
      <c r="U41" s="1301"/>
      <c r="V41" s="1301"/>
      <c r="W41" s="1301"/>
      <c r="X41" s="1301"/>
    </row>
    <row r="42" spans="1:24" ht="13.5">
      <c r="A42" s="1293" t="s">
        <v>316</v>
      </c>
      <c r="M42" s="1293" t="s">
        <v>316</v>
      </c>
      <c r="S42" s="1306" t="s">
        <v>1366</v>
      </c>
      <c r="T42" s="1301"/>
      <c r="U42" s="1301"/>
      <c r="V42" s="1301"/>
      <c r="W42" s="1301"/>
      <c r="X42" s="1301"/>
    </row>
    <row r="43" spans="1:24" ht="13.5">
      <c r="A43" s="1308" t="s">
        <v>2966</v>
      </c>
      <c r="M43" s="1293" t="s">
        <v>2966</v>
      </c>
      <c r="S43" s="1305" t="s">
        <v>2372</v>
      </c>
      <c r="T43" s="1301"/>
      <c r="U43" s="1301"/>
      <c r="V43" s="1301"/>
      <c r="W43" s="1301"/>
      <c r="X43" s="1301"/>
    </row>
    <row r="44" spans="1:24">
      <c r="S44" s="1305" t="s">
        <v>3107</v>
      </c>
      <c r="T44" s="1301"/>
      <c r="U44" s="1301"/>
      <c r="V44" s="1301"/>
      <c r="W44" s="1301"/>
      <c r="X44" s="1301"/>
    </row>
    <row r="45" spans="1:24">
      <c r="S45" s="1305" t="s">
        <v>3108</v>
      </c>
      <c r="T45" s="1301"/>
      <c r="U45" s="1301"/>
      <c r="V45" s="1301"/>
      <c r="W45" s="1301"/>
      <c r="X45" s="1301"/>
    </row>
    <row r="46" spans="1:24">
      <c r="S46" s="1305" t="s">
        <v>1367</v>
      </c>
      <c r="T46" s="1301"/>
      <c r="U46" s="1301"/>
      <c r="V46" s="1301"/>
      <c r="W46" s="1301"/>
      <c r="X46" s="1301"/>
    </row>
    <row r="47" spans="1:24">
      <c r="S47" s="1301"/>
      <c r="T47" s="1301"/>
      <c r="U47" s="1301"/>
      <c r="V47" s="1301"/>
      <c r="W47" s="1301"/>
      <c r="X47" s="1301"/>
    </row>
    <row r="48" spans="1:24">
      <c r="S48" s="1305" t="s">
        <v>756</v>
      </c>
      <c r="T48" s="1301"/>
      <c r="U48" s="1301"/>
      <c r="V48" s="1301"/>
      <c r="W48" s="1301"/>
      <c r="X48" s="1301"/>
    </row>
    <row r="49" spans="13:24">
      <c r="M49" s="1292"/>
      <c r="S49" s="1305" t="s">
        <v>2372</v>
      </c>
      <c r="T49" s="1301"/>
      <c r="U49" s="1301"/>
      <c r="V49" s="1301"/>
      <c r="W49" s="1301"/>
      <c r="X49" s="1301"/>
    </row>
    <row r="50" spans="13:24">
      <c r="S50" s="1305" t="s">
        <v>3732</v>
      </c>
      <c r="T50" s="1301"/>
      <c r="U50" s="1301"/>
      <c r="V50" s="1301"/>
      <c r="W50" s="1301"/>
      <c r="X50" s="1301"/>
    </row>
    <row r="51" spans="13:24">
      <c r="S51" s="1306" t="s">
        <v>3734</v>
      </c>
      <c r="T51" s="1301"/>
      <c r="U51" s="1301"/>
      <c r="V51" s="1301"/>
      <c r="W51" s="1301"/>
      <c r="X51" s="1301"/>
    </row>
    <row r="52" spans="13:24">
      <c r="S52" s="1305" t="s">
        <v>3736</v>
      </c>
      <c r="T52" s="1301"/>
      <c r="U52" s="1301"/>
      <c r="V52" s="1301"/>
      <c r="W52" s="1301"/>
      <c r="X52" s="1301"/>
    </row>
    <row r="53" spans="13:24">
      <c r="S53" s="1305" t="s">
        <v>3746</v>
      </c>
      <c r="T53" s="1301"/>
      <c r="U53" s="1301"/>
      <c r="V53" s="1301"/>
      <c r="W53" s="1301"/>
      <c r="X53" s="1301"/>
    </row>
    <row r="54" spans="13:24">
      <c r="S54" s="1306" t="s">
        <v>3748</v>
      </c>
      <c r="T54" s="1301"/>
      <c r="U54" s="1301"/>
      <c r="V54" s="1301"/>
      <c r="W54" s="1301"/>
      <c r="X54" s="1301"/>
    </row>
    <row r="55" spans="13:24">
      <c r="S55" s="1305" t="s">
        <v>3107</v>
      </c>
      <c r="T55" s="1301"/>
      <c r="U55" s="1301"/>
      <c r="V55" s="1301"/>
      <c r="W55" s="1301"/>
      <c r="X55" s="1301"/>
    </row>
    <row r="56" spans="13:24">
      <c r="S56" s="1306" t="s">
        <v>1368</v>
      </c>
      <c r="T56" s="1301"/>
      <c r="U56" s="1301"/>
      <c r="V56" s="1301"/>
      <c r="W56" s="1301"/>
      <c r="X56" s="1301"/>
    </row>
    <row r="57" spans="13:24">
      <c r="S57" s="1306" t="s">
        <v>1369</v>
      </c>
      <c r="T57" s="1301"/>
      <c r="U57" s="1301"/>
      <c r="V57" s="1301"/>
      <c r="W57" s="1301"/>
      <c r="X57" s="1301"/>
    </row>
    <row r="58" spans="13:24">
      <c r="S58" s="1306" t="s">
        <v>1370</v>
      </c>
      <c r="T58" s="1301"/>
      <c r="U58" s="1301"/>
      <c r="V58" s="1301"/>
      <c r="W58" s="1301"/>
      <c r="X58" s="1301"/>
    </row>
    <row r="59" spans="13:24">
      <c r="S59" s="1306" t="s">
        <v>1367</v>
      </c>
      <c r="T59" s="1301"/>
      <c r="U59" s="1301"/>
      <c r="V59" s="1301"/>
      <c r="W59" s="1301"/>
      <c r="X59" s="1301"/>
    </row>
    <row r="60" spans="13:24">
      <c r="S60" s="1306" t="s">
        <v>3788</v>
      </c>
      <c r="T60" s="1301"/>
      <c r="U60" s="1301"/>
      <c r="V60" s="1301"/>
      <c r="W60" s="1301"/>
      <c r="X60" s="1301"/>
    </row>
    <row r="61" spans="13:24">
      <c r="S61" s="1306" t="s">
        <v>3790</v>
      </c>
      <c r="T61" s="1301"/>
      <c r="U61" s="1301"/>
      <c r="V61" s="1301"/>
      <c r="W61" s="1301"/>
      <c r="X61" s="1301"/>
    </row>
    <row r="62" spans="13:24" ht="76.5">
      <c r="S62" s="1305" t="s">
        <v>1371</v>
      </c>
      <c r="T62" s="1301"/>
      <c r="U62" s="1301"/>
      <c r="V62" s="1301"/>
      <c r="W62" s="1301"/>
      <c r="X62" s="1301"/>
    </row>
    <row r="65" spans="1:19" ht="13.5">
      <c r="S65" s="1294" t="s">
        <v>316</v>
      </c>
    </row>
    <row r="67" spans="1:19" ht="13.5">
      <c r="S67" s="1294" t="s">
        <v>2966</v>
      </c>
    </row>
    <row r="69" spans="1:19">
      <c r="A69" s="1292" t="s">
        <v>2180</v>
      </c>
    </row>
    <row r="70" spans="1:19">
      <c r="A70" s="1292" t="s">
        <v>1372</v>
      </c>
    </row>
    <row r="71" spans="1:19">
      <c r="A71" s="1292" t="s">
        <v>1373</v>
      </c>
    </row>
    <row r="72" spans="1:19">
      <c r="A72" s="1292"/>
    </row>
    <row r="73" spans="1:19">
      <c r="A73" s="1292" t="s">
        <v>1374</v>
      </c>
    </row>
    <row r="75" spans="1:19">
      <c r="A75" s="1292" t="s">
        <v>1375</v>
      </c>
    </row>
    <row r="76" spans="1:19">
      <c r="A76" s="1292" t="s">
        <v>2065</v>
      </c>
    </row>
    <row r="77" spans="1:19">
      <c r="A77" s="1292" t="s">
        <v>2066</v>
      </c>
    </row>
    <row r="78" spans="1:19">
      <c r="A78" s="1292"/>
    </row>
    <row r="79" spans="1:19">
      <c r="A79" s="1292" t="s">
        <v>2067</v>
      </c>
    </row>
    <row r="80" spans="1:19">
      <c r="A80" s="1292" t="s">
        <v>2171</v>
      </c>
    </row>
    <row r="81" spans="1:1">
      <c r="A81" s="1292"/>
    </row>
    <row r="82" spans="1:1">
      <c r="A82" s="1292" t="s">
        <v>2172</v>
      </c>
    </row>
    <row r="83" spans="1:1">
      <c r="A83" s="1292" t="s">
        <v>2173</v>
      </c>
    </row>
    <row r="84" spans="1:1">
      <c r="A84" s="1292" t="s">
        <v>2174</v>
      </c>
    </row>
    <row r="86" spans="1:1">
      <c r="A86" s="1292" t="s">
        <v>2175</v>
      </c>
    </row>
    <row r="88" spans="1:1">
      <c r="A88" s="1292" t="s">
        <v>2176</v>
      </c>
    </row>
    <row r="90" spans="1:1">
      <c r="A90" s="1292" t="s">
        <v>2177</v>
      </c>
    </row>
    <row r="92" spans="1:1">
      <c r="A92" s="1292" t="s">
        <v>2178</v>
      </c>
    </row>
    <row r="93" spans="1:1">
      <c r="A93" s="1292" t="s">
        <v>2179</v>
      </c>
    </row>
  </sheetData>
  <mergeCells count="4">
    <mergeCell ref="A2:F2"/>
    <mergeCell ref="B14:C14"/>
    <mergeCell ref="H14:I14"/>
    <mergeCell ref="T22:X22"/>
  </mergeCells>
  <phoneticPr fontId="0" type="noConversion"/>
  <hyperlinks>
    <hyperlink ref="A1" location="Главная!A1" display="Переход на главную страницу"/>
  </hyperlinks>
  <pageMargins left="0.7" right="0.7" top="0.75" bottom="0.75" header="0.3" footer="0.3"/>
  <pageSetup paperSize="9" scale="73"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theme="0"/>
  </sheetPr>
  <dimension ref="A1:C18"/>
  <sheetViews>
    <sheetView view="pageBreakPreview" zoomScale="85" zoomScaleNormal="100" zoomScaleSheetLayoutView="85" workbookViewId="0">
      <selection activeCell="G7" sqref="A7:M17"/>
    </sheetView>
  </sheetViews>
  <sheetFormatPr defaultRowHeight="12.75"/>
  <cols>
    <col min="1" max="1" width="11.28515625" style="1310" customWidth="1"/>
    <col min="2" max="2" width="51.42578125" style="1310" customWidth="1"/>
    <col min="3" max="3" width="57.85546875" style="1310" customWidth="1"/>
    <col min="4" max="16384" width="9.140625" style="1310"/>
  </cols>
  <sheetData>
    <row r="1" spans="1:3" ht="15.75">
      <c r="A1" s="79" t="s">
        <v>724</v>
      </c>
    </row>
    <row r="2" spans="1:3" ht="82.5" customHeight="1">
      <c r="A2" s="1901" t="s">
        <v>4692</v>
      </c>
      <c r="B2" s="1901"/>
      <c r="C2" s="1901"/>
    </row>
    <row r="3" spans="1:3" ht="21" customHeight="1">
      <c r="A3" s="1311"/>
      <c r="B3" s="1311"/>
      <c r="C3" s="1311"/>
    </row>
    <row r="4" spans="1:3" ht="21" customHeight="1">
      <c r="A4" s="1902" t="s">
        <v>4693</v>
      </c>
      <c r="B4" s="1902"/>
      <c r="C4" s="1902"/>
    </row>
    <row r="5" spans="1:3" ht="13.5" thickBot="1">
      <c r="A5" s="1312"/>
    </row>
    <row r="6" spans="1:3" ht="17.25" customHeight="1" thickBot="1">
      <c r="A6" s="1313" t="s">
        <v>4694</v>
      </c>
      <c r="B6" s="1314" t="s">
        <v>4695</v>
      </c>
      <c r="C6" s="1314" t="s">
        <v>4696</v>
      </c>
    </row>
    <row r="7" spans="1:3" ht="120" customHeight="1" thickBot="1">
      <c r="A7" s="1315">
        <v>1</v>
      </c>
      <c r="B7" s="1316" t="s">
        <v>4697</v>
      </c>
      <c r="C7" s="1317" t="s">
        <v>4698</v>
      </c>
    </row>
    <row r="8" spans="1:3" ht="110.25" customHeight="1" thickBot="1">
      <c r="A8" s="1318" t="s">
        <v>4699</v>
      </c>
      <c r="B8" s="1316" t="s">
        <v>4700</v>
      </c>
      <c r="C8" s="1317" t="s">
        <v>4698</v>
      </c>
    </row>
    <row r="9" spans="1:3" ht="36" customHeight="1" thickBot="1">
      <c r="A9" s="1315">
        <v>2</v>
      </c>
      <c r="B9" s="1316" t="s">
        <v>4701</v>
      </c>
      <c r="C9" s="1317" t="s">
        <v>4698</v>
      </c>
    </row>
    <row r="10" spans="1:3" ht="35.25" customHeight="1">
      <c r="A10" s="1903">
        <v>3</v>
      </c>
      <c r="B10" s="1319" t="s">
        <v>4702</v>
      </c>
      <c r="C10" s="1320" t="s">
        <v>4703</v>
      </c>
    </row>
    <row r="11" spans="1:3">
      <c r="A11" s="1904"/>
      <c r="B11" s="1319" t="s">
        <v>4704</v>
      </c>
      <c r="C11" s="1320" t="s">
        <v>4705</v>
      </c>
    </row>
    <row r="12" spans="1:3" ht="23.25" customHeight="1" thickBot="1">
      <c r="A12" s="1905"/>
      <c r="B12" s="1321"/>
      <c r="C12" s="1320" t="s">
        <v>4706</v>
      </c>
    </row>
    <row r="13" spans="1:3" ht="36.75" customHeight="1">
      <c r="A13" s="1903">
        <v>4</v>
      </c>
      <c r="B13" s="1322" t="s">
        <v>4707</v>
      </c>
      <c r="C13" s="1320" t="s">
        <v>4708</v>
      </c>
    </row>
    <row r="14" spans="1:3">
      <c r="A14" s="1904"/>
      <c r="B14" s="1322" t="s">
        <v>4709</v>
      </c>
      <c r="C14" s="1320" t="s">
        <v>4710</v>
      </c>
    </row>
    <row r="15" spans="1:3" ht="26.25" customHeight="1" thickBot="1">
      <c r="A15" s="1905"/>
      <c r="B15" s="1321"/>
      <c r="C15" s="1317" t="s">
        <v>4711</v>
      </c>
    </row>
    <row r="16" spans="1:3">
      <c r="A16" s="1312"/>
    </row>
    <row r="17" spans="1:3" ht="13.5">
      <c r="A17" s="1323"/>
      <c r="B17" s="1324"/>
      <c r="C17" s="1324"/>
    </row>
    <row r="18" spans="1:3" ht="13.5">
      <c r="A18" s="1900" t="s">
        <v>744</v>
      </c>
      <c r="B18" s="1900"/>
      <c r="C18" s="1900"/>
    </row>
  </sheetData>
  <mergeCells count="5">
    <mergeCell ref="A18:C18"/>
    <mergeCell ref="A2:C2"/>
    <mergeCell ref="A4:C4"/>
    <mergeCell ref="A10:A12"/>
    <mergeCell ref="A13:A15"/>
  </mergeCells>
  <phoneticPr fontId="0" type="noConversion"/>
  <hyperlinks>
    <hyperlink ref="A1" location="Главная!A1" display="Переход на главную страницу"/>
  </hyperlinks>
  <pageMargins left="0.7" right="0.7" top="0.75" bottom="0.75" header="0.3" footer="0.3"/>
  <pageSetup paperSize="9" scale="74"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tabColor theme="0"/>
  </sheetPr>
  <dimension ref="A1:AB45"/>
  <sheetViews>
    <sheetView view="pageBreakPreview" topLeftCell="A31" zoomScaleNormal="100" zoomScaleSheetLayoutView="100" workbookViewId="0">
      <selection activeCell="G7" sqref="A7:M17"/>
    </sheetView>
  </sheetViews>
  <sheetFormatPr defaultRowHeight="12.75"/>
  <cols>
    <col min="1" max="2" width="9.140625" style="1310"/>
    <col min="3" max="3" width="10.5703125" style="1310" customWidth="1"/>
    <col min="4" max="12" width="9.140625" style="1310"/>
    <col min="13" max="13" width="11.5703125" style="1310" customWidth="1"/>
    <col min="14" max="16384" width="9.140625" style="1310"/>
  </cols>
  <sheetData>
    <row r="1" spans="1:13" ht="15.75">
      <c r="A1" s="79" t="s">
        <v>724</v>
      </c>
    </row>
    <row r="2" spans="1:13" ht="29.25" customHeight="1">
      <c r="A2" s="1912" t="s">
        <v>4712</v>
      </c>
      <c r="B2" s="1912"/>
      <c r="C2" s="1912"/>
      <c r="D2" s="1912"/>
      <c r="E2" s="1912"/>
      <c r="F2" s="1912"/>
      <c r="G2" s="1912"/>
      <c r="H2" s="1912"/>
      <c r="I2" s="1912"/>
      <c r="J2" s="1912"/>
      <c r="K2" s="1912"/>
      <c r="L2" s="1912"/>
      <c r="M2" s="1912"/>
    </row>
    <row r="3" spans="1:13">
      <c r="B3" s="1325"/>
    </row>
    <row r="4" spans="1:13">
      <c r="A4" s="1326" t="s">
        <v>4713</v>
      </c>
    </row>
    <row r="6" spans="1:13">
      <c r="D6" s="1325"/>
    </row>
    <row r="9" spans="1:13">
      <c r="A9" s="1327" t="s">
        <v>4714</v>
      </c>
      <c r="B9" s="1328">
        <v>0.65</v>
      </c>
      <c r="C9" s="1326" t="s">
        <v>4715</v>
      </c>
    </row>
    <row r="10" spans="1:13">
      <c r="A10" s="1327" t="s">
        <v>4716</v>
      </c>
      <c r="B10" s="1326" t="s">
        <v>4717</v>
      </c>
      <c r="C10" s="1326" t="s">
        <v>4715</v>
      </c>
    </row>
    <row r="12" spans="1:13">
      <c r="A12" s="1326" t="s">
        <v>4718</v>
      </c>
    </row>
    <row r="13" spans="1:13">
      <c r="A13" s="1326" t="s">
        <v>4719</v>
      </c>
    </row>
    <row r="15" spans="1:13" ht="36" customHeight="1">
      <c r="A15" s="1916" t="s">
        <v>4720</v>
      </c>
      <c r="B15" s="1916"/>
      <c r="C15" s="1916"/>
      <c r="D15" s="1916"/>
      <c r="E15" s="1916"/>
      <c r="F15" s="1916"/>
      <c r="G15" s="1916"/>
      <c r="H15" s="1916"/>
      <c r="I15" s="1916"/>
      <c r="J15" s="1916"/>
      <c r="K15" s="1916"/>
      <c r="L15" s="1916"/>
      <c r="M15" s="1916"/>
    </row>
    <row r="16" spans="1:13" ht="27" customHeight="1">
      <c r="A16" s="1911" t="s">
        <v>1984</v>
      </c>
      <c r="B16" s="1911"/>
      <c r="C16" s="1911"/>
      <c r="D16" s="1911" t="s">
        <v>4721</v>
      </c>
      <c r="E16" s="1911"/>
      <c r="F16" s="1911"/>
      <c r="G16" s="1911" t="s">
        <v>321</v>
      </c>
      <c r="H16" s="1911"/>
      <c r="I16" s="1911"/>
    </row>
    <row r="17" spans="1:28" ht="54.75" customHeight="1">
      <c r="A17" s="1907" t="s">
        <v>743</v>
      </c>
      <c r="B17" s="1907"/>
      <c r="C17" s="1907"/>
      <c r="D17" s="1907">
        <v>1</v>
      </c>
      <c r="E17" s="1907"/>
      <c r="F17" s="1907"/>
      <c r="G17" s="1919">
        <v>1.2568306010928962E-3</v>
      </c>
      <c r="H17" s="1919"/>
      <c r="I17" s="1919"/>
      <c r="O17" s="1329" t="s">
        <v>4722</v>
      </c>
    </row>
    <row r="18" spans="1:28" ht="70.5" customHeight="1">
      <c r="A18" s="1915" t="s">
        <v>4723</v>
      </c>
      <c r="B18" s="1915"/>
      <c r="C18" s="1915"/>
      <c r="D18" s="1914" t="s">
        <v>2970</v>
      </c>
      <c r="E18" s="1915"/>
      <c r="F18" s="1915"/>
      <c r="G18" s="1920" t="s">
        <v>4724</v>
      </c>
      <c r="H18" s="1921"/>
      <c r="I18" s="1922"/>
      <c r="T18" s="1923" t="s">
        <v>2971</v>
      </c>
      <c r="U18" s="1923"/>
      <c r="V18" s="1923"/>
      <c r="W18" s="1923"/>
      <c r="X18" s="1923"/>
      <c r="Y18" s="1923"/>
      <c r="Z18" s="1923"/>
      <c r="AA18" s="1923"/>
      <c r="AB18" s="1923"/>
    </row>
    <row r="19" spans="1:28" ht="54" customHeight="1">
      <c r="A19" s="1915" t="s">
        <v>2972</v>
      </c>
      <c r="B19" s="1915"/>
      <c r="C19" s="1915"/>
      <c r="D19" s="1914" t="s">
        <v>1359</v>
      </c>
      <c r="E19" s="1915"/>
      <c r="F19" s="1915"/>
      <c r="G19" s="1924">
        <f>'п.п. 11л 2'!E69</f>
        <v>1.0038068181818183</v>
      </c>
      <c r="H19" s="1924"/>
      <c r="I19" s="1924"/>
    </row>
    <row r="20" spans="1:28" ht="32.25" customHeight="1">
      <c r="A20" s="1908" t="s">
        <v>2973</v>
      </c>
      <c r="B20" s="1909"/>
      <c r="C20" s="1910"/>
      <c r="D20" s="1908" t="s">
        <v>1299</v>
      </c>
      <c r="E20" s="1909"/>
      <c r="F20" s="1910"/>
      <c r="G20" s="1911">
        <v>1.248</v>
      </c>
      <c r="H20" s="1911"/>
      <c r="I20" s="1911"/>
    </row>
    <row r="21" spans="1:28" ht="32.25" customHeight="1">
      <c r="A21" s="1911" t="s">
        <v>2974</v>
      </c>
      <c r="B21" s="1911"/>
      <c r="C21" s="1911"/>
      <c r="D21" s="1908" t="s">
        <v>1299</v>
      </c>
      <c r="E21" s="1909"/>
      <c r="F21" s="1910"/>
      <c r="G21" s="1911">
        <v>4.9249999999999998</v>
      </c>
      <c r="H21" s="1911"/>
      <c r="I21" s="1911"/>
    </row>
    <row r="22" spans="1:28" ht="32.25" customHeight="1">
      <c r="A22" s="1911" t="s">
        <v>2975</v>
      </c>
      <c r="B22" s="1911"/>
      <c r="C22" s="1911"/>
      <c r="D22" s="1908" t="s">
        <v>1299</v>
      </c>
      <c r="E22" s="1909"/>
      <c r="F22" s="1910"/>
      <c r="G22" s="1918">
        <v>1.157</v>
      </c>
      <c r="H22" s="1918"/>
      <c r="I22" s="1918"/>
      <c r="O22" s="1329" t="s">
        <v>2976</v>
      </c>
      <c r="R22" s="1310" t="s">
        <v>2977</v>
      </c>
    </row>
    <row r="23" spans="1:28" ht="45" customHeight="1">
      <c r="A23" s="1911" t="s">
        <v>2978</v>
      </c>
      <c r="B23" s="1911"/>
      <c r="C23" s="1911"/>
      <c r="D23" s="1911" t="s">
        <v>2979</v>
      </c>
      <c r="E23" s="1911"/>
      <c r="F23" s="1911"/>
      <c r="G23" s="1911">
        <f>IF(G17&lt;=G20*(1-0.35),1,0)</f>
        <v>1</v>
      </c>
      <c r="H23" s="1911"/>
      <c r="I23" s="1911"/>
      <c r="O23" s="1330" t="s">
        <v>2980</v>
      </c>
      <c r="R23" s="1331" t="s">
        <v>2981</v>
      </c>
    </row>
    <row r="24" spans="1:28" ht="96.75" customHeight="1">
      <c r="A24" s="1911" t="s">
        <v>2982</v>
      </c>
      <c r="B24" s="1911"/>
      <c r="C24" s="1911"/>
      <c r="D24" s="1911" t="s">
        <v>2979</v>
      </c>
      <c r="E24" s="1911"/>
      <c r="F24" s="1911"/>
      <c r="G24" s="1920" t="s">
        <v>2983</v>
      </c>
      <c r="H24" s="1921"/>
      <c r="I24" s="1922"/>
      <c r="O24" s="1330"/>
      <c r="R24" s="1917" t="s">
        <v>2984</v>
      </c>
      <c r="S24" s="1917"/>
      <c r="T24" s="1917"/>
      <c r="U24" s="1917"/>
      <c r="V24" s="1917"/>
      <c r="W24" s="1917"/>
      <c r="X24" s="1917"/>
      <c r="Y24" s="1917"/>
      <c r="Z24" s="1917"/>
      <c r="AA24" s="1917"/>
      <c r="AB24" s="1917"/>
    </row>
    <row r="25" spans="1:28" ht="69" customHeight="1">
      <c r="A25" s="1911" t="s">
        <v>2985</v>
      </c>
      <c r="B25" s="1911"/>
      <c r="C25" s="1911"/>
      <c r="D25" s="1911" t="s">
        <v>2979</v>
      </c>
      <c r="E25" s="1911"/>
      <c r="F25" s="1911"/>
      <c r="G25" s="1911">
        <f>IF(G19&lt;=G22*(1-0.35),1,0)</f>
        <v>0</v>
      </c>
      <c r="H25" s="1911"/>
      <c r="I25" s="1911"/>
      <c r="O25" s="1330" t="s">
        <v>2980</v>
      </c>
    </row>
    <row r="26" spans="1:28">
      <c r="O26" s="1330"/>
    </row>
    <row r="27" spans="1:28" ht="42.75" customHeight="1">
      <c r="A27" s="1916" t="s">
        <v>2986</v>
      </c>
      <c r="B27" s="1916"/>
      <c r="C27" s="1916"/>
      <c r="D27" s="1916"/>
      <c r="E27" s="1916"/>
      <c r="F27" s="1916"/>
      <c r="G27" s="1916"/>
      <c r="H27" s="1916"/>
      <c r="I27" s="1916"/>
      <c r="J27" s="1916"/>
      <c r="K27" s="1916"/>
      <c r="L27" s="1916"/>
      <c r="M27" s="1916"/>
      <c r="O27" s="1330" t="s">
        <v>2980</v>
      </c>
    </row>
    <row r="28" spans="1:28" ht="29.25" customHeight="1">
      <c r="A28" s="1907" t="s">
        <v>1984</v>
      </c>
      <c r="B28" s="1907"/>
      <c r="C28" s="1907"/>
      <c r="D28" s="1911" t="s">
        <v>4721</v>
      </c>
      <c r="E28" s="1911"/>
      <c r="F28" s="1911"/>
      <c r="G28" s="1911" t="s">
        <v>321</v>
      </c>
      <c r="H28" s="1911"/>
      <c r="I28" s="1911"/>
    </row>
    <row r="29" spans="1:28" ht="48.75" customHeight="1">
      <c r="A29" s="1907" t="s">
        <v>1283</v>
      </c>
      <c r="B29" s="1907"/>
      <c r="C29" s="1907"/>
      <c r="D29" s="1911"/>
      <c r="E29" s="1911"/>
      <c r="F29" s="1911"/>
      <c r="G29" s="1911">
        <v>0.65</v>
      </c>
      <c r="H29" s="1911"/>
      <c r="I29" s="1911"/>
      <c r="N29" s="1911" t="s">
        <v>1284</v>
      </c>
      <c r="O29" s="1911"/>
      <c r="P29" s="1911"/>
    </row>
    <row r="30" spans="1:28" ht="47.25" customHeight="1">
      <c r="A30" s="1907" t="s">
        <v>1285</v>
      </c>
      <c r="B30" s="1907"/>
      <c r="C30" s="1907"/>
      <c r="D30" s="1911"/>
      <c r="E30" s="1911"/>
      <c r="F30" s="1911"/>
      <c r="G30" s="1911">
        <f>1-0.65</f>
        <v>0.35</v>
      </c>
      <c r="H30" s="1911"/>
      <c r="I30" s="1911"/>
      <c r="N30" s="1911" t="s">
        <v>1286</v>
      </c>
      <c r="O30" s="1911"/>
      <c r="P30" s="1911"/>
    </row>
    <row r="31" spans="1:28" ht="44.25" customHeight="1">
      <c r="A31" s="1907" t="s">
        <v>1287</v>
      </c>
      <c r="B31" s="1907"/>
      <c r="C31" s="1907"/>
      <c r="D31" s="1914" t="s">
        <v>1288</v>
      </c>
      <c r="E31" s="1915"/>
      <c r="F31" s="1915"/>
      <c r="G31" s="1911">
        <f>G23</f>
        <v>1</v>
      </c>
      <c r="H31" s="1911"/>
      <c r="I31" s="1911"/>
    </row>
    <row r="32" spans="1:28" ht="47.25" customHeight="1">
      <c r="A32" s="1907" t="s">
        <v>1289</v>
      </c>
      <c r="B32" s="1907"/>
      <c r="C32" s="1907"/>
      <c r="D32" s="1908" t="s">
        <v>1288</v>
      </c>
      <c r="E32" s="1909"/>
      <c r="F32" s="1910"/>
      <c r="G32" s="1911">
        <f>G25</f>
        <v>0</v>
      </c>
      <c r="H32" s="1911"/>
      <c r="I32" s="1911"/>
    </row>
    <row r="33" spans="1:13" ht="46.5" customHeight="1">
      <c r="A33" s="1907" t="s">
        <v>1290</v>
      </c>
      <c r="B33" s="1907"/>
      <c r="C33" s="1907"/>
      <c r="D33" s="1908">
        <v>7</v>
      </c>
      <c r="E33" s="1909"/>
      <c r="F33" s="1910"/>
      <c r="G33" s="1911">
        <f>G29*G31+G30*G32</f>
        <v>0.65</v>
      </c>
      <c r="H33" s="1911"/>
      <c r="I33" s="1911"/>
    </row>
    <row r="37" spans="1:13" ht="29.25" customHeight="1">
      <c r="A37" s="1912" t="s">
        <v>1291</v>
      </c>
      <c r="B37" s="1912"/>
      <c r="C37" s="1912"/>
      <c r="D37" s="1912"/>
      <c r="E37" s="1912"/>
      <c r="F37" s="1912"/>
      <c r="G37" s="1912"/>
      <c r="H37" s="1912"/>
      <c r="I37" s="1912"/>
      <c r="J37" s="1912"/>
      <c r="K37" s="1912"/>
      <c r="L37" s="1912"/>
      <c r="M37" s="1912"/>
    </row>
    <row r="39" spans="1:13" ht="18">
      <c r="B39" s="1332" t="s">
        <v>1292</v>
      </c>
      <c r="E39" s="1333">
        <f>2%*G33</f>
        <v>1.3000000000000001E-2</v>
      </c>
      <c r="F39" s="1333"/>
    </row>
    <row r="41" spans="1:13" ht="28.5" customHeight="1">
      <c r="A41" s="1329" t="s">
        <v>1293</v>
      </c>
      <c r="B41" s="1913" t="s">
        <v>1294</v>
      </c>
      <c r="C41" s="1913"/>
      <c r="D41" s="1913"/>
      <c r="E41" s="1913"/>
      <c r="F41" s="1913"/>
      <c r="G41" s="1913"/>
      <c r="H41" s="1913"/>
      <c r="I41" s="1913"/>
      <c r="J41" s="1913"/>
      <c r="K41" s="1913"/>
      <c r="L41" s="1913"/>
      <c r="M41" s="1913"/>
    </row>
    <row r="43" spans="1:13" ht="15">
      <c r="A43" s="1310" t="s">
        <v>1295</v>
      </c>
      <c r="B43" s="1906" t="s">
        <v>1296</v>
      </c>
      <c r="C43" s="1906"/>
      <c r="D43" s="1906"/>
      <c r="E43" s="1906"/>
      <c r="F43" s="1906"/>
      <c r="G43" s="1906"/>
      <c r="H43" s="1906"/>
      <c r="I43" s="1906"/>
      <c r="J43" s="1906"/>
      <c r="K43" s="1906"/>
      <c r="L43" s="1906"/>
      <c r="M43" s="1906"/>
    </row>
    <row r="44" spans="1:13" ht="15">
      <c r="B44" s="1334"/>
    </row>
    <row r="45" spans="1:13" ht="15.75">
      <c r="A45" s="1335" t="s">
        <v>1297</v>
      </c>
      <c r="B45" s="1335"/>
      <c r="C45" s="1335"/>
      <c r="D45" s="1335"/>
      <c r="E45" s="1335"/>
      <c r="F45" s="1335"/>
      <c r="G45" s="1335" t="s">
        <v>1298</v>
      </c>
      <c r="H45" s="1335"/>
    </row>
  </sheetData>
  <mergeCells count="58">
    <mergeCell ref="A17:C17"/>
    <mergeCell ref="D17:F17"/>
    <mergeCell ref="A2:M2"/>
    <mergeCell ref="A15:M15"/>
    <mergeCell ref="A16:C16"/>
    <mergeCell ref="D16:F16"/>
    <mergeCell ref="G16:I16"/>
    <mergeCell ref="A18:C18"/>
    <mergeCell ref="D18:F18"/>
    <mergeCell ref="A19:C19"/>
    <mergeCell ref="D19:F19"/>
    <mergeCell ref="A21:C21"/>
    <mergeCell ref="D21:F21"/>
    <mergeCell ref="A20:C20"/>
    <mergeCell ref="D20:F20"/>
    <mergeCell ref="G23:I23"/>
    <mergeCell ref="R24:AB24"/>
    <mergeCell ref="G22:I22"/>
    <mergeCell ref="G17:I17"/>
    <mergeCell ref="G21:I21"/>
    <mergeCell ref="G20:I20"/>
    <mergeCell ref="G18:I18"/>
    <mergeCell ref="T18:AB18"/>
    <mergeCell ref="G19:I19"/>
    <mergeCell ref="G24:I24"/>
    <mergeCell ref="G28:I28"/>
    <mergeCell ref="D28:F28"/>
    <mergeCell ref="G25:I25"/>
    <mergeCell ref="D30:F30"/>
    <mergeCell ref="D25:F25"/>
    <mergeCell ref="A27:M27"/>
    <mergeCell ref="A22:C22"/>
    <mergeCell ref="D22:F22"/>
    <mergeCell ref="A23:C23"/>
    <mergeCell ref="A31:C31"/>
    <mergeCell ref="D31:F31"/>
    <mergeCell ref="A25:C25"/>
    <mergeCell ref="D23:F23"/>
    <mergeCell ref="A24:C24"/>
    <mergeCell ref="D24:F24"/>
    <mergeCell ref="A28:C28"/>
    <mergeCell ref="G31:I31"/>
    <mergeCell ref="N30:P30"/>
    <mergeCell ref="A29:C29"/>
    <mergeCell ref="D29:F29"/>
    <mergeCell ref="G29:I29"/>
    <mergeCell ref="A30:C30"/>
    <mergeCell ref="G30:I30"/>
    <mergeCell ref="N29:P29"/>
    <mergeCell ref="B43:M43"/>
    <mergeCell ref="A32:C32"/>
    <mergeCell ref="D32:F32"/>
    <mergeCell ref="G32:I32"/>
    <mergeCell ref="A33:C33"/>
    <mergeCell ref="G33:I33"/>
    <mergeCell ref="A37:M37"/>
    <mergeCell ref="B41:M41"/>
    <mergeCell ref="D33:F33"/>
  </mergeCells>
  <phoneticPr fontId="0" type="noConversion"/>
  <hyperlinks>
    <hyperlink ref="A1" location="Главная!A1" display="Переход на главную страницу"/>
  </hyperlinks>
  <pageMargins left="0.7" right="0.7" top="0.75" bottom="0.75" header="0.3" footer="0.3"/>
  <pageSetup paperSize="9" scale="71"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dimension ref="A1:K4"/>
  <sheetViews>
    <sheetView view="pageBreakPreview" zoomScale="115" zoomScaleNormal="100" workbookViewId="0">
      <selection activeCell="H17" sqref="H17"/>
    </sheetView>
  </sheetViews>
  <sheetFormatPr defaultRowHeight="15"/>
  <sheetData>
    <row r="1" spans="1:11" ht="15.75">
      <c r="A1" s="79" t="s">
        <v>724</v>
      </c>
    </row>
    <row r="4" spans="1:11" ht="115.5" customHeight="1">
      <c r="A4" s="1925" t="s">
        <v>3844</v>
      </c>
      <c r="B4" s="1925"/>
      <c r="C4" s="1925"/>
      <c r="D4" s="1925"/>
      <c r="E4" s="1925"/>
      <c r="F4" s="1925"/>
      <c r="G4" s="1925"/>
      <c r="H4" s="1925"/>
      <c r="I4" s="1925"/>
      <c r="J4" s="1925"/>
      <c r="K4" s="1925"/>
    </row>
  </sheetData>
  <mergeCells count="1">
    <mergeCell ref="A4:K4"/>
  </mergeCells>
  <phoneticPr fontId="0" type="noConversion"/>
  <hyperlinks>
    <hyperlink ref="A1" location="Главная!A1" display="Переход на главную страницу"/>
  </hyperlinks>
  <pageMargins left="0.75" right="0.75" top="1" bottom="1" header="0.5" footer="0.5"/>
  <pageSetup paperSize="9" scale="84" orientation="portrait"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B1:P86"/>
  <sheetViews>
    <sheetView view="pageBreakPreview" zoomScaleNormal="70" zoomScaleSheetLayoutView="100" workbookViewId="0"/>
  </sheetViews>
  <sheetFormatPr defaultRowHeight="15"/>
  <cols>
    <col min="1" max="1" width="16.140625" style="1086" customWidth="1"/>
    <col min="2" max="2" width="9.140625" style="1086"/>
    <col min="3" max="3" width="60.85546875" style="1086" customWidth="1"/>
    <col min="4" max="4" width="15.7109375" style="1086" customWidth="1"/>
    <col min="5" max="5" width="14.7109375" style="1086" customWidth="1"/>
    <col min="6" max="7" width="14.42578125" style="1086" customWidth="1"/>
    <col min="8" max="8" width="14.28515625" style="1086" customWidth="1"/>
    <col min="9" max="10" width="14.5703125" style="1086" customWidth="1"/>
    <col min="11" max="11" width="15.85546875" style="1086" customWidth="1"/>
    <col min="12" max="12" width="14.85546875" style="1086" customWidth="1"/>
    <col min="13" max="13" width="15.5703125" style="1087" customWidth="1"/>
    <col min="14" max="14" width="14.5703125" style="1086" customWidth="1"/>
    <col min="15" max="15" width="15.140625" style="1086" customWidth="1"/>
    <col min="16" max="16" width="14.140625" style="1086" customWidth="1"/>
    <col min="17" max="16384" width="9.140625" style="1086"/>
  </cols>
  <sheetData>
    <row r="1" spans="2:14" ht="18.75">
      <c r="B1" s="79" t="s">
        <v>724</v>
      </c>
      <c r="C1" s="79"/>
      <c r="D1" s="1085" t="s">
        <v>746</v>
      </c>
    </row>
    <row r="2" spans="2:14" ht="16.5" thickBot="1">
      <c r="B2" s="79"/>
      <c r="C2" s="79"/>
    </row>
    <row r="3" spans="2:14" ht="24" customHeight="1">
      <c r="B3" s="1088" t="s">
        <v>747</v>
      </c>
      <c r="C3" s="1089" t="s">
        <v>748</v>
      </c>
      <c r="D3" s="1926" t="s">
        <v>749</v>
      </c>
      <c r="E3" s="1928" t="s">
        <v>750</v>
      </c>
      <c r="F3" s="1926" t="s">
        <v>751</v>
      </c>
      <c r="G3" s="1926" t="s">
        <v>752</v>
      </c>
      <c r="H3" s="1940" t="s">
        <v>753</v>
      </c>
      <c r="I3" s="1926" t="s">
        <v>754</v>
      </c>
      <c r="J3" s="1926" t="s">
        <v>755</v>
      </c>
      <c r="M3" s="1086"/>
      <c r="N3" s="1087"/>
    </row>
    <row r="4" spans="2:14" ht="24" customHeight="1">
      <c r="B4" s="1090"/>
      <c r="C4" s="1091"/>
      <c r="D4" s="1927"/>
      <c r="E4" s="1929"/>
      <c r="F4" s="1927"/>
      <c r="G4" s="1927"/>
      <c r="H4" s="1941"/>
      <c r="I4" s="1927"/>
      <c r="J4" s="1927"/>
      <c r="M4" s="1086"/>
      <c r="N4" s="1087"/>
    </row>
    <row r="5" spans="2:14">
      <c r="B5" s="1092">
        <v>1</v>
      </c>
      <c r="C5" s="988">
        <v>2</v>
      </c>
      <c r="D5" s="1093">
        <v>3</v>
      </c>
      <c r="E5" s="1094">
        <v>4</v>
      </c>
      <c r="F5" s="1093">
        <v>5</v>
      </c>
      <c r="G5" s="1093">
        <v>6</v>
      </c>
      <c r="H5" s="1095">
        <v>7</v>
      </c>
      <c r="I5" s="1093">
        <v>8</v>
      </c>
      <c r="J5" s="1093">
        <v>9</v>
      </c>
      <c r="M5" s="1086"/>
      <c r="N5" s="1087"/>
    </row>
    <row r="6" spans="2:14">
      <c r="B6" s="1096" t="s">
        <v>756</v>
      </c>
      <c r="C6" s="1097" t="s">
        <v>757</v>
      </c>
      <c r="D6" s="1098">
        <v>36091.438000000002</v>
      </c>
      <c r="E6" s="1099">
        <v>36018.871140954834</v>
      </c>
      <c r="F6" s="1098">
        <f>+F7+F8+F9+F10+F11</f>
        <v>37191.599999999999</v>
      </c>
      <c r="G6" s="1098">
        <f>+G7+G8+G9+G10+G11</f>
        <v>37952.374311409883</v>
      </c>
      <c r="H6" s="1100">
        <f>+H7+H8+H9+H10+H11</f>
        <v>38245.561999999998</v>
      </c>
      <c r="I6" s="1098">
        <f>+I7+I8+I9+I10+I11</f>
        <v>37504.269999999997</v>
      </c>
      <c r="J6" s="1098">
        <f>+J7+J8+J9+J10+J11</f>
        <v>36100.51</v>
      </c>
      <c r="M6" s="1086"/>
      <c r="N6" s="1087"/>
    </row>
    <row r="7" spans="2:14" ht="23.25">
      <c r="B7" s="1101" t="s">
        <v>758</v>
      </c>
      <c r="C7" s="1102" t="s">
        <v>759</v>
      </c>
      <c r="D7" s="1098">
        <v>20456.124</v>
      </c>
      <c r="E7" s="1099">
        <v>20626.261428571426</v>
      </c>
      <c r="F7" s="1098">
        <v>21087.85</v>
      </c>
      <c r="G7" s="1098">
        <v>21574.498617511523</v>
      </c>
      <c r="H7" s="1100">
        <v>21685.446</v>
      </c>
      <c r="I7" s="1098">
        <v>21147.45</v>
      </c>
      <c r="J7" s="1098">
        <v>20247.11</v>
      </c>
      <c r="L7" s="1103"/>
      <c r="M7" s="1104"/>
      <c r="N7" s="1087"/>
    </row>
    <row r="8" spans="2:14" ht="23.25">
      <c r="B8" s="1101" t="s">
        <v>258</v>
      </c>
      <c r="C8" s="1102" t="s">
        <v>259</v>
      </c>
      <c r="D8" s="1098">
        <v>4357.71</v>
      </c>
      <c r="E8" s="1099">
        <v>4048.3773699999992</v>
      </c>
      <c r="F8" s="1098">
        <v>4492.28</v>
      </c>
      <c r="G8" s="1098">
        <v>4511.4926799999985</v>
      </c>
      <c r="H8" s="1100">
        <v>4619.5860000000002</v>
      </c>
      <c r="I8" s="1098">
        <v>4504.9799999999996</v>
      </c>
      <c r="J8" s="1098">
        <v>4313.18</v>
      </c>
      <c r="L8" s="1103"/>
      <c r="M8" s="1104"/>
      <c r="N8" s="1087"/>
    </row>
    <row r="9" spans="2:14" ht="23.25">
      <c r="B9" s="1101" t="s">
        <v>260</v>
      </c>
      <c r="C9" s="1102" t="s">
        <v>261</v>
      </c>
      <c r="D9" s="1098">
        <v>9319.44</v>
      </c>
      <c r="E9" s="1099">
        <v>9318.0456999999988</v>
      </c>
      <c r="F9" s="1098">
        <v>9607.25</v>
      </c>
      <c r="G9" s="1098">
        <v>9628.782220000001</v>
      </c>
      <c r="H9" s="1100">
        <v>9879.51</v>
      </c>
      <c r="I9" s="1098">
        <v>9634.41</v>
      </c>
      <c r="J9" s="1098">
        <v>9224.23</v>
      </c>
      <c r="L9" s="1103"/>
      <c r="M9" s="1104"/>
      <c r="N9" s="1087"/>
    </row>
    <row r="10" spans="2:14" ht="23.25">
      <c r="B10" s="1101" t="s">
        <v>262</v>
      </c>
      <c r="C10" s="1102" t="s">
        <v>263</v>
      </c>
      <c r="D10" s="1098">
        <v>1701.684</v>
      </c>
      <c r="E10" s="1099">
        <v>1699.53604</v>
      </c>
      <c r="F10" s="1098">
        <v>1754.24</v>
      </c>
      <c r="G10" s="1098">
        <v>1977.9948199999999</v>
      </c>
      <c r="H10" s="1100">
        <v>1803.95</v>
      </c>
      <c r="I10" s="1098">
        <v>1919.1</v>
      </c>
      <c r="J10" s="1098">
        <v>2004.4</v>
      </c>
      <c r="L10" s="1105"/>
      <c r="M10" s="1086"/>
      <c r="N10" s="1087"/>
    </row>
    <row r="11" spans="2:14" ht="23.25">
      <c r="B11" s="1101" t="s">
        <v>264</v>
      </c>
      <c r="C11" s="1102" t="s">
        <v>1269</v>
      </c>
      <c r="D11" s="1098">
        <v>256.48</v>
      </c>
      <c r="E11" s="1099">
        <v>326.65060238340504</v>
      </c>
      <c r="F11" s="1098">
        <v>249.98</v>
      </c>
      <c r="G11" s="1098">
        <v>259.6059738983634</v>
      </c>
      <c r="H11" s="1100">
        <v>257.07</v>
      </c>
      <c r="I11" s="1098">
        <v>298.33</v>
      </c>
      <c r="J11" s="1098">
        <v>311.58999999999997</v>
      </c>
      <c r="L11" s="1105"/>
      <c r="M11" s="1086"/>
      <c r="N11" s="1087"/>
    </row>
    <row r="12" spans="2:14" ht="21.75" customHeight="1">
      <c r="B12" s="1106" t="s">
        <v>1270</v>
      </c>
      <c r="C12" s="1107" t="s">
        <v>1271</v>
      </c>
      <c r="D12" s="1108">
        <v>256.48</v>
      </c>
      <c r="E12" s="1109">
        <v>326.65060238340504</v>
      </c>
      <c r="F12" s="1108">
        <v>249.98</v>
      </c>
      <c r="G12" s="1108">
        <v>259.6059738983634</v>
      </c>
      <c r="H12" s="1110">
        <v>257.07</v>
      </c>
      <c r="I12" s="1108">
        <v>298.33</v>
      </c>
      <c r="J12" s="1108">
        <v>311.58999999999997</v>
      </c>
      <c r="L12" s="1105"/>
      <c r="M12" s="1086"/>
      <c r="N12" s="1087"/>
    </row>
    <row r="13" spans="2:14" ht="23.25">
      <c r="B13" s="1096" t="s">
        <v>1272</v>
      </c>
      <c r="C13" s="1097" t="s">
        <v>2371</v>
      </c>
      <c r="D13" s="1098">
        <v>15262.47</v>
      </c>
      <c r="E13" s="1099">
        <v>16745.25044787912</v>
      </c>
      <c r="F13" s="1098">
        <f>+F25+F17+F16+F14+F26+F15</f>
        <v>16270.653999999999</v>
      </c>
      <c r="G13" s="1098">
        <f>+G25+G17+G16+G14+G26+G15</f>
        <v>17963.013923166462</v>
      </c>
      <c r="H13" s="1100">
        <f>+H25+H17+H16+H14+H26+H15</f>
        <v>16670.498</v>
      </c>
      <c r="I13" s="1098">
        <f>+I25+I17+I16+I14+I26+I15</f>
        <v>16801.038</v>
      </c>
      <c r="J13" s="1098">
        <f>+J25+J17+J16+J14+J26+J15</f>
        <v>16747.417999999998</v>
      </c>
      <c r="L13" s="1105"/>
      <c r="M13" s="1086"/>
      <c r="N13" s="1087"/>
    </row>
    <row r="14" spans="2:14" ht="23.25">
      <c r="B14" s="1101" t="s">
        <v>2372</v>
      </c>
      <c r="C14" s="1102" t="s">
        <v>3731</v>
      </c>
      <c r="D14" s="1098">
        <v>1889.05</v>
      </c>
      <c r="E14" s="1099">
        <v>2445.3377999999998</v>
      </c>
      <c r="F14" s="1098">
        <v>1831.52</v>
      </c>
      <c r="G14" s="1098">
        <v>2776.0092599999998</v>
      </c>
      <c r="H14" s="1100">
        <v>2027.49</v>
      </c>
      <c r="I14" s="1098">
        <v>1831.52</v>
      </c>
      <c r="J14" s="1098">
        <v>1831.52</v>
      </c>
      <c r="L14" s="1103"/>
      <c r="M14" s="1104"/>
      <c r="N14" s="1087"/>
    </row>
    <row r="15" spans="2:14" ht="23.25">
      <c r="B15" s="1101" t="s">
        <v>3732</v>
      </c>
      <c r="C15" s="1102" t="s">
        <v>3733</v>
      </c>
      <c r="D15" s="1098">
        <v>6218.66</v>
      </c>
      <c r="E15" s="1099">
        <v>6229.1309514285713</v>
      </c>
      <c r="F15" s="1098">
        <v>6410.71</v>
      </c>
      <c r="G15" s="1098">
        <v>6515.4985824884798</v>
      </c>
      <c r="H15" s="1100">
        <v>6549</v>
      </c>
      <c r="I15" s="1098">
        <v>6619.15</v>
      </c>
      <c r="J15" s="1098">
        <v>6337.34</v>
      </c>
      <c r="L15" s="1103"/>
      <c r="M15" s="1104"/>
      <c r="N15" s="1087"/>
    </row>
    <row r="16" spans="2:14">
      <c r="B16" s="1101" t="s">
        <v>3734</v>
      </c>
      <c r="C16" s="1102" t="s">
        <v>3735</v>
      </c>
      <c r="D16" s="1098">
        <v>969.39</v>
      </c>
      <c r="E16" s="1099">
        <v>974.2613065326633</v>
      </c>
      <c r="F16" s="1098">
        <v>944.84</v>
      </c>
      <c r="G16" s="1098">
        <v>947.20209999999997</v>
      </c>
      <c r="H16" s="1100">
        <v>940.86</v>
      </c>
      <c r="I16" s="1098">
        <v>911.54</v>
      </c>
      <c r="J16" s="1098">
        <v>894.92</v>
      </c>
      <c r="M16" s="1086"/>
      <c r="N16" s="1087"/>
    </row>
    <row r="17" spans="2:14">
      <c r="B17" s="1101" t="s">
        <v>3736</v>
      </c>
      <c r="C17" s="1102" t="s">
        <v>3737</v>
      </c>
      <c r="D17" s="1098">
        <v>1291.05</v>
      </c>
      <c r="E17" s="1099">
        <v>2211.443542460258</v>
      </c>
      <c r="F17" s="1098">
        <f>+F18+F19+F20+F21</f>
        <v>1834.2739999999999</v>
      </c>
      <c r="G17" s="1098">
        <f>+G18+G19+G20+G21</f>
        <v>2258.697784915269</v>
      </c>
      <c r="H17" s="1100">
        <f>+H18+H19+H20+H21</f>
        <v>2031.098</v>
      </c>
      <c r="I17" s="1098">
        <f>+I18+I19+I20+I21</f>
        <v>1922.828</v>
      </c>
      <c r="J17" s="1098">
        <f>+J18+J19+J20+J21</f>
        <v>1968.6379999999999</v>
      </c>
      <c r="M17" s="1086"/>
      <c r="N17" s="1087"/>
    </row>
    <row r="18" spans="2:14">
      <c r="B18" s="1106" t="s">
        <v>3738</v>
      </c>
      <c r="C18" s="1107" t="s">
        <v>3739</v>
      </c>
      <c r="D18" s="1108">
        <v>433.66</v>
      </c>
      <c r="E18" s="1109">
        <v>456.76047999999997</v>
      </c>
      <c r="F18" s="1108">
        <v>420.46</v>
      </c>
      <c r="G18" s="1108">
        <v>428.35460999999998</v>
      </c>
      <c r="H18" s="1110">
        <v>413.98399999999998</v>
      </c>
      <c r="I18" s="1108">
        <v>420.46</v>
      </c>
      <c r="J18" s="1108">
        <v>420.46</v>
      </c>
      <c r="M18" s="1086"/>
      <c r="N18" s="1087"/>
    </row>
    <row r="19" spans="2:14">
      <c r="B19" s="1106" t="s">
        <v>3740</v>
      </c>
      <c r="C19" s="1107" t="s">
        <v>3741</v>
      </c>
      <c r="D19" s="1108">
        <v>3.84</v>
      </c>
      <c r="E19" s="1109">
        <v>5.5741000000000005</v>
      </c>
      <c r="F19" s="1108">
        <v>3.72</v>
      </c>
      <c r="G19" s="1108">
        <v>4.1044399999999994</v>
      </c>
      <c r="H19" s="1110">
        <v>3.66</v>
      </c>
      <c r="I19" s="1108">
        <v>3.72</v>
      </c>
      <c r="J19" s="1108">
        <v>3.72</v>
      </c>
      <c r="M19" s="1086"/>
      <c r="N19" s="1087"/>
    </row>
    <row r="20" spans="2:14">
      <c r="B20" s="1106" t="s">
        <v>3742</v>
      </c>
      <c r="C20" s="1107" t="s">
        <v>3743</v>
      </c>
      <c r="D20" s="1108">
        <v>482.62</v>
      </c>
      <c r="E20" s="1109">
        <v>446.1771</v>
      </c>
      <c r="F20" s="1108">
        <v>467.93</v>
      </c>
      <c r="G20" s="1108">
        <v>422.51268000000005</v>
      </c>
      <c r="H20" s="1110">
        <v>437.51400000000001</v>
      </c>
      <c r="I20" s="1108">
        <v>467.93400000000003</v>
      </c>
      <c r="J20" s="1108">
        <v>467.93400000000003</v>
      </c>
      <c r="M20" s="1086"/>
      <c r="N20" s="1087"/>
    </row>
    <row r="21" spans="2:14">
      <c r="B21" s="1106" t="s">
        <v>3744</v>
      </c>
      <c r="C21" s="1107" t="s">
        <v>3745</v>
      </c>
      <c r="D21" s="1108">
        <v>370.93</v>
      </c>
      <c r="E21" s="1109">
        <v>1302.9318624602581</v>
      </c>
      <c r="F21" s="1108">
        <v>942.16399999999999</v>
      </c>
      <c r="G21" s="1108">
        <v>1403.7260549152688</v>
      </c>
      <c r="H21" s="1110">
        <v>1175.94</v>
      </c>
      <c r="I21" s="1108">
        <v>1030.7139999999999</v>
      </c>
      <c r="J21" s="1108">
        <v>1076.5239999999999</v>
      </c>
      <c r="M21" s="1086"/>
      <c r="N21" s="1087"/>
    </row>
    <row r="22" spans="2:14">
      <c r="B22" s="1101" t="s">
        <v>3746</v>
      </c>
      <c r="C22" s="1102" t="s">
        <v>3747</v>
      </c>
      <c r="D22" s="1111" t="s">
        <v>3568</v>
      </c>
      <c r="E22" s="1112" t="s">
        <v>3568</v>
      </c>
      <c r="F22" s="1111" t="s">
        <v>3568</v>
      </c>
      <c r="G22" s="1111" t="s">
        <v>3568</v>
      </c>
      <c r="H22" s="1113" t="s">
        <v>3568</v>
      </c>
      <c r="I22" s="1111" t="s">
        <v>3568</v>
      </c>
      <c r="J22" s="1111" t="s">
        <v>3568</v>
      </c>
      <c r="M22" s="1086"/>
      <c r="N22" s="1087"/>
    </row>
    <row r="23" spans="2:14">
      <c r="B23" s="1101" t="s">
        <v>3748</v>
      </c>
      <c r="C23" s="1102" t="s">
        <v>3749</v>
      </c>
      <c r="D23" s="1111" t="s">
        <v>3568</v>
      </c>
      <c r="E23" s="1112" t="s">
        <v>3568</v>
      </c>
      <c r="F23" s="1111" t="s">
        <v>3568</v>
      </c>
      <c r="G23" s="1111" t="s">
        <v>3568</v>
      </c>
      <c r="H23" s="1113" t="s">
        <v>3568</v>
      </c>
      <c r="I23" s="1111" t="s">
        <v>3568</v>
      </c>
      <c r="J23" s="1111" t="s">
        <v>3568</v>
      </c>
      <c r="M23" s="1086"/>
      <c r="N23" s="1087"/>
    </row>
    <row r="24" spans="2:14">
      <c r="B24" s="1101" t="s">
        <v>3750</v>
      </c>
      <c r="C24" s="1102" t="s">
        <v>3751</v>
      </c>
      <c r="D24" s="1111" t="s">
        <v>3568</v>
      </c>
      <c r="E24" s="1112" t="s">
        <v>3568</v>
      </c>
      <c r="F24" s="1111" t="s">
        <v>3568</v>
      </c>
      <c r="G24" s="1111" t="s">
        <v>3568</v>
      </c>
      <c r="H24" s="1113" t="s">
        <v>3568</v>
      </c>
      <c r="I24" s="1111" t="s">
        <v>3568</v>
      </c>
      <c r="J24" s="1111" t="s">
        <v>3568</v>
      </c>
      <c r="M24" s="1086"/>
      <c r="N24" s="1087"/>
    </row>
    <row r="25" spans="2:14" ht="24.75" customHeight="1">
      <c r="B25" s="1101" t="s">
        <v>3752</v>
      </c>
      <c r="C25" s="1102" t="s">
        <v>3753</v>
      </c>
      <c r="D25" s="1114">
        <v>4894.32</v>
      </c>
      <c r="E25" s="1115">
        <v>4885.0768474576271</v>
      </c>
      <c r="F25" s="1114">
        <v>5139</v>
      </c>
      <c r="G25" s="1114">
        <v>5355.2982457627122</v>
      </c>
      <c r="H25" s="1116">
        <v>5075.57</v>
      </c>
      <c r="I25" s="1098">
        <v>5516</v>
      </c>
      <c r="J25" s="1098">
        <v>5715</v>
      </c>
      <c r="M25" s="1086"/>
      <c r="N25" s="1087"/>
    </row>
    <row r="26" spans="2:14" ht="30.75" customHeight="1">
      <c r="B26" s="1117" t="s">
        <v>3754</v>
      </c>
      <c r="C26" s="1118" t="s">
        <v>3755</v>
      </c>
      <c r="D26" s="1119"/>
      <c r="E26" s="1120"/>
      <c r="F26" s="1119">
        <v>110.31</v>
      </c>
      <c r="G26" s="1098">
        <v>110.30795000000001</v>
      </c>
      <c r="H26" s="1121">
        <v>46.48</v>
      </c>
      <c r="I26" s="1111"/>
      <c r="J26" s="1111"/>
      <c r="M26" s="1086"/>
      <c r="N26" s="1087"/>
    </row>
    <row r="27" spans="2:14">
      <c r="B27" s="1096" t="s">
        <v>3756</v>
      </c>
      <c r="C27" s="1097" t="s">
        <v>3757</v>
      </c>
      <c r="D27" s="1098">
        <f>+D28</f>
        <v>7067.14</v>
      </c>
      <c r="E27" s="1099">
        <f>+E28</f>
        <v>7067.14</v>
      </c>
      <c r="F27" s="1098">
        <f>+F28+F29</f>
        <v>2815.8140000000003</v>
      </c>
      <c r="G27" s="1098">
        <f>+G28+G29</f>
        <v>2815.81</v>
      </c>
      <c r="H27" s="1100">
        <f>+H28+H29</f>
        <v>109.36000000000001</v>
      </c>
      <c r="I27" s="1111"/>
      <c r="J27" s="1111"/>
      <c r="M27" s="1086"/>
      <c r="N27" s="1087"/>
    </row>
    <row r="28" spans="2:14">
      <c r="B28" s="1101" t="s">
        <v>3107</v>
      </c>
      <c r="C28" s="1102" t="s">
        <v>3758</v>
      </c>
      <c r="D28" s="1098">
        <v>7067.14</v>
      </c>
      <c r="E28" s="1099">
        <v>7067.14</v>
      </c>
      <c r="F28" s="1098">
        <v>3068.9340000000002</v>
      </c>
      <c r="G28" s="1098">
        <v>3068.93</v>
      </c>
      <c r="H28" s="1100">
        <v>422.22</v>
      </c>
      <c r="I28" s="1111"/>
      <c r="J28" s="1111"/>
      <c r="M28" s="1086"/>
      <c r="N28" s="1087"/>
    </row>
    <row r="29" spans="2:14" ht="30">
      <c r="B29" s="1101" t="s">
        <v>3759</v>
      </c>
      <c r="C29" s="1102" t="s">
        <v>3760</v>
      </c>
      <c r="D29" s="1098"/>
      <c r="E29" s="1099"/>
      <c r="F29" s="1098">
        <v>-253.12</v>
      </c>
      <c r="G29" s="1098">
        <v>-253.12</v>
      </c>
      <c r="H29" s="1100">
        <v>-312.86</v>
      </c>
      <c r="I29" s="1111"/>
      <c r="J29" s="1111"/>
      <c r="M29" s="1086"/>
      <c r="N29" s="1087"/>
    </row>
    <row r="30" spans="2:14" ht="29.25" thickBot="1">
      <c r="B30" s="1122" t="s">
        <v>3761</v>
      </c>
      <c r="C30" s="1123" t="s">
        <v>3762</v>
      </c>
      <c r="D30" s="1124" t="s">
        <v>3568</v>
      </c>
      <c r="E30" s="1125" t="s">
        <v>3568</v>
      </c>
      <c r="F30" s="1126">
        <v>-731.61</v>
      </c>
      <c r="G30" s="1127">
        <v>-731.60500000000002</v>
      </c>
      <c r="H30" s="1128">
        <v>467.37</v>
      </c>
      <c r="I30" s="1124"/>
      <c r="J30" s="1124"/>
      <c r="M30" s="1086"/>
      <c r="N30" s="1087"/>
    </row>
    <row r="31" spans="2:14" ht="15.75" thickBot="1">
      <c r="B31" s="1129"/>
      <c r="C31" s="1130" t="s">
        <v>3763</v>
      </c>
      <c r="D31" s="1131">
        <v>58421.048000000003</v>
      </c>
      <c r="E31" s="1132">
        <v>59831.26158883395</v>
      </c>
      <c r="F31" s="1131">
        <f>+F6+F13+F27+F30</f>
        <v>55546.457999999999</v>
      </c>
      <c r="G31" s="1131">
        <f>+G6+G13+G27+G30</f>
        <v>57999.593234576336</v>
      </c>
      <c r="H31" s="1133">
        <f>+H6+H13+H27+H30</f>
        <v>55492.79</v>
      </c>
      <c r="I31" s="1131">
        <f>+I6+I13+I27+I30</f>
        <v>54305.307999999997</v>
      </c>
      <c r="J31" s="1131">
        <f>+J6+J13+J27+J30</f>
        <v>52847.928</v>
      </c>
      <c r="M31" s="1086"/>
      <c r="N31" s="1087"/>
    </row>
    <row r="32" spans="2:14" ht="15.75" thickBot="1">
      <c r="B32" s="1134"/>
      <c r="C32" s="1135" t="s">
        <v>3764</v>
      </c>
      <c r="D32" s="1136">
        <v>21127.73</v>
      </c>
      <c r="E32" s="1137">
        <v>16523.12</v>
      </c>
      <c r="F32" s="1136">
        <v>21805.62</v>
      </c>
      <c r="G32" s="1136">
        <v>16523.12</v>
      </c>
      <c r="H32" s="1138">
        <v>23524.55</v>
      </c>
      <c r="I32" s="1136">
        <v>25198.92</v>
      </c>
      <c r="J32" s="1136">
        <v>26988.04</v>
      </c>
      <c r="M32" s="1086"/>
      <c r="N32" s="1087"/>
    </row>
    <row r="33" spans="2:16" ht="15.75" thickBot="1">
      <c r="B33" s="1129"/>
      <c r="C33" s="1130" t="s">
        <v>3765</v>
      </c>
      <c r="D33" s="1131">
        <f t="shared" ref="D33:J33" si="0">+D31+D32</f>
        <v>79548.778000000006</v>
      </c>
      <c r="E33" s="1139">
        <f t="shared" si="0"/>
        <v>76354.381588833945</v>
      </c>
      <c r="F33" s="1131">
        <f t="shared" si="0"/>
        <v>77352.077999999994</v>
      </c>
      <c r="G33" s="1131">
        <f t="shared" si="0"/>
        <v>74522.713234576338</v>
      </c>
      <c r="H33" s="1133">
        <f t="shared" si="0"/>
        <v>79017.34</v>
      </c>
      <c r="I33" s="1131">
        <f t="shared" si="0"/>
        <v>79504.228000000003</v>
      </c>
      <c r="J33" s="1131">
        <f t="shared" si="0"/>
        <v>79835.967999999993</v>
      </c>
      <c r="M33" s="1086"/>
      <c r="N33" s="1087"/>
    </row>
    <row r="34" spans="2:16">
      <c r="H34" s="1104"/>
      <c r="I34" s="1104"/>
    </row>
    <row r="35" spans="2:16">
      <c r="H35" s="1104"/>
      <c r="I35" s="1104"/>
    </row>
    <row r="36" spans="2:16" ht="15.75">
      <c r="B36" s="79"/>
      <c r="C36" s="79"/>
    </row>
    <row r="37" spans="2:16" ht="18.75">
      <c r="B37" s="79"/>
      <c r="C37" s="79"/>
      <c r="D37" s="1085" t="s">
        <v>3766</v>
      </c>
    </row>
    <row r="38" spans="2:16" ht="15.75">
      <c r="B38" s="79"/>
      <c r="C38" s="79"/>
    </row>
    <row r="39" spans="2:16" ht="16.5" thickBot="1">
      <c r="B39" s="1140"/>
      <c r="C39" s="1140"/>
      <c r="D39" s="1140"/>
      <c r="E39" s="1141"/>
      <c r="H39" s="1141"/>
    </row>
    <row r="40" spans="2:16" ht="15" customHeight="1">
      <c r="B40" s="1942" t="s">
        <v>747</v>
      </c>
      <c r="C40" s="1944" t="s">
        <v>748</v>
      </c>
      <c r="D40" s="1926" t="s">
        <v>3767</v>
      </c>
      <c r="E40" s="1930" t="s">
        <v>3768</v>
      </c>
      <c r="F40" s="1926" t="s">
        <v>3769</v>
      </c>
      <c r="G40" s="1938" t="s">
        <v>3770</v>
      </c>
      <c r="H40" s="1936" t="s">
        <v>3771</v>
      </c>
      <c r="I40" s="1932" t="s">
        <v>3772</v>
      </c>
      <c r="J40" s="1930" t="s">
        <v>3773</v>
      </c>
      <c r="K40" s="1934" t="s">
        <v>3774</v>
      </c>
      <c r="L40" s="1932" t="s">
        <v>3775</v>
      </c>
      <c r="M40" s="1930" t="s">
        <v>3776</v>
      </c>
      <c r="N40" s="1934" t="s">
        <v>3777</v>
      </c>
      <c r="O40" s="1932" t="s">
        <v>3778</v>
      </c>
      <c r="P40" s="1930" t="s">
        <v>3779</v>
      </c>
    </row>
    <row r="41" spans="2:16" ht="27.75" customHeight="1">
      <c r="B41" s="1943"/>
      <c r="C41" s="1945"/>
      <c r="D41" s="1927"/>
      <c r="E41" s="1931"/>
      <c r="F41" s="1927"/>
      <c r="G41" s="1939"/>
      <c r="H41" s="1937"/>
      <c r="I41" s="1933"/>
      <c r="J41" s="1931"/>
      <c r="K41" s="1935"/>
      <c r="L41" s="1933"/>
      <c r="M41" s="1931"/>
      <c r="N41" s="1935"/>
      <c r="O41" s="1933"/>
      <c r="P41" s="1931"/>
    </row>
    <row r="42" spans="2:16" ht="15.75">
      <c r="B42" s="1142">
        <v>1</v>
      </c>
      <c r="C42" s="1143">
        <v>2</v>
      </c>
      <c r="D42" s="1144">
        <v>3</v>
      </c>
      <c r="E42" s="1144">
        <v>4</v>
      </c>
      <c r="F42" s="1144">
        <v>5</v>
      </c>
      <c r="G42" s="1145">
        <v>6</v>
      </c>
      <c r="H42" s="1142">
        <v>5</v>
      </c>
      <c r="I42" s="1146">
        <v>6</v>
      </c>
      <c r="J42" s="1144">
        <v>7</v>
      </c>
      <c r="K42" s="1147">
        <v>8</v>
      </c>
      <c r="L42" s="1146">
        <v>9</v>
      </c>
      <c r="M42" s="1144">
        <v>10</v>
      </c>
      <c r="N42" s="1147">
        <v>11</v>
      </c>
      <c r="O42" s="1146">
        <v>12</v>
      </c>
      <c r="P42" s="1144">
        <v>13</v>
      </c>
    </row>
    <row r="43" spans="2:16" ht="15.75">
      <c r="B43" s="1148" t="s">
        <v>756</v>
      </c>
      <c r="C43" s="1149" t="s">
        <v>3780</v>
      </c>
      <c r="D43" s="1150"/>
      <c r="E43" s="1150"/>
      <c r="F43" s="1150"/>
      <c r="G43" s="1151"/>
      <c r="H43" s="1152"/>
      <c r="I43" s="1153"/>
      <c r="J43" s="1150"/>
      <c r="K43" s="1154"/>
      <c r="L43" s="1155"/>
      <c r="M43" s="1150"/>
      <c r="N43" s="1154"/>
      <c r="O43" s="1155"/>
      <c r="P43" s="1150"/>
    </row>
    <row r="44" spans="2:16" ht="15.75">
      <c r="B44" s="1148" t="s">
        <v>1272</v>
      </c>
      <c r="C44" s="1156" t="s">
        <v>3781</v>
      </c>
      <c r="D44" s="1157">
        <v>4393.1000000000004</v>
      </c>
      <c r="E44" s="1158">
        <v>2810.1776999999997</v>
      </c>
      <c r="F44" s="1158">
        <v>5213.28</v>
      </c>
      <c r="G44" s="1158">
        <v>3340.2854499999999</v>
      </c>
      <c r="H44" s="1159">
        <v>5479.16</v>
      </c>
      <c r="I44" s="1160">
        <v>4759.58</v>
      </c>
      <c r="J44" s="1157">
        <v>2595.4364300000002</v>
      </c>
      <c r="K44" s="1161">
        <v>5787.8</v>
      </c>
      <c r="L44" s="1162">
        <v>5097.58</v>
      </c>
      <c r="M44" s="1157">
        <v>4022.0019600000001</v>
      </c>
      <c r="N44" s="1161">
        <v>6050.8</v>
      </c>
      <c r="O44" s="1162">
        <v>5329.21</v>
      </c>
      <c r="P44" s="1157">
        <v>3999.34</v>
      </c>
    </row>
    <row r="45" spans="2:16" ht="15.75">
      <c r="B45" s="1148"/>
      <c r="C45" s="1149" t="s">
        <v>3782</v>
      </c>
      <c r="D45" s="1151">
        <f>D44</f>
        <v>4393.1000000000004</v>
      </c>
      <c r="E45" s="1163"/>
      <c r="F45" s="1151">
        <v>5213.28</v>
      </c>
      <c r="G45" s="1151"/>
      <c r="H45" s="1164"/>
      <c r="I45" s="1165"/>
      <c r="J45" s="1151"/>
      <c r="K45" s="1166"/>
      <c r="L45" s="1167"/>
      <c r="M45" s="1151"/>
      <c r="N45" s="1166"/>
      <c r="O45" s="1167"/>
      <c r="P45" s="1151"/>
    </row>
    <row r="46" spans="2:16" ht="15.75">
      <c r="B46" s="1148" t="s">
        <v>3783</v>
      </c>
      <c r="C46" s="1156" t="s">
        <v>3784</v>
      </c>
      <c r="D46" s="1157">
        <v>1534.57</v>
      </c>
      <c r="E46" s="1158">
        <v>3733.599189999999</v>
      </c>
      <c r="F46" s="1158">
        <v>4008.4</v>
      </c>
      <c r="G46" s="1158">
        <v>5634.7836100000004</v>
      </c>
      <c r="H46" s="1159">
        <v>8763.58</v>
      </c>
      <c r="I46" s="1160">
        <v>7612.66</v>
      </c>
      <c r="J46" s="1157">
        <v>4969.7754300000006</v>
      </c>
      <c r="K46" s="1161">
        <v>9257.23</v>
      </c>
      <c r="L46" s="1162">
        <v>8153.27</v>
      </c>
      <c r="M46" s="1157">
        <v>8601.4862662711894</v>
      </c>
      <c r="N46" s="1161">
        <v>9677.8799999999992</v>
      </c>
      <c r="O46" s="1162">
        <v>8523.75</v>
      </c>
      <c r="P46" s="1157">
        <v>9605.08</v>
      </c>
    </row>
    <row r="47" spans="2:16" ht="15.75">
      <c r="B47" s="1148"/>
      <c r="C47" s="1149" t="s">
        <v>3782</v>
      </c>
      <c r="D47" s="1151"/>
      <c r="E47" s="1158"/>
      <c r="F47" s="1158">
        <v>0</v>
      </c>
      <c r="G47" s="1158"/>
      <c r="H47" s="1164">
        <v>0</v>
      </c>
      <c r="I47" s="1165">
        <v>0</v>
      </c>
      <c r="J47" s="1151"/>
      <c r="K47" s="1168">
        <v>0</v>
      </c>
      <c r="L47" s="1169">
        <v>0</v>
      </c>
      <c r="M47" s="1151"/>
      <c r="N47" s="1168"/>
      <c r="O47" s="1169"/>
      <c r="P47" s="1151"/>
    </row>
    <row r="48" spans="2:16" ht="24" customHeight="1">
      <c r="B48" s="1148" t="s">
        <v>3761</v>
      </c>
      <c r="C48" s="1170" t="s">
        <v>3785</v>
      </c>
      <c r="D48" s="1151"/>
      <c r="E48" s="1163"/>
      <c r="F48" s="1163">
        <v>0</v>
      </c>
      <c r="G48" s="1163"/>
      <c r="H48" s="1164">
        <v>0</v>
      </c>
      <c r="I48" s="1167">
        <v>0</v>
      </c>
      <c r="J48" s="1163"/>
      <c r="K48" s="1168">
        <v>0</v>
      </c>
      <c r="L48" s="1169">
        <v>0</v>
      </c>
      <c r="M48" s="1163">
        <v>0</v>
      </c>
      <c r="N48" s="1168">
        <v>0</v>
      </c>
      <c r="O48" s="1169">
        <v>0</v>
      </c>
      <c r="P48" s="1163">
        <v>0</v>
      </c>
    </row>
    <row r="49" spans="2:16" ht="20.25" customHeight="1">
      <c r="B49" s="1148" t="s">
        <v>3786</v>
      </c>
      <c r="C49" s="1171" t="s">
        <v>3787</v>
      </c>
      <c r="D49" s="1157">
        <f>D50+D51</f>
        <v>392.8</v>
      </c>
      <c r="E49" s="1158">
        <v>11121.007829999999</v>
      </c>
      <c r="F49" s="1158">
        <v>793.58</v>
      </c>
      <c r="G49" s="1158">
        <v>15151.70551</v>
      </c>
      <c r="H49" s="1159">
        <v>853.1</v>
      </c>
      <c r="I49" s="1160">
        <v>741.06</v>
      </c>
      <c r="J49" s="1157">
        <v>14165.483029999999</v>
      </c>
      <c r="K49" s="1161">
        <v>955.47</v>
      </c>
      <c r="L49" s="1162">
        <v>841.53</v>
      </c>
      <c r="M49" s="1157">
        <f>+M51</f>
        <v>943.24</v>
      </c>
      <c r="N49" s="1161">
        <v>964.17</v>
      </c>
      <c r="O49" s="1162">
        <v>849.19</v>
      </c>
      <c r="P49" s="1157">
        <f>+P51</f>
        <v>956.14</v>
      </c>
    </row>
    <row r="50" spans="2:16" ht="34.5" customHeight="1">
      <c r="B50" s="1148" t="s">
        <v>3788</v>
      </c>
      <c r="C50" s="1170" t="s">
        <v>3789</v>
      </c>
      <c r="D50" s="1151"/>
      <c r="E50" s="1163">
        <v>10443.308859999999</v>
      </c>
      <c r="F50" s="1163">
        <v>0</v>
      </c>
      <c r="G50" s="1163">
        <v>14449.88761</v>
      </c>
      <c r="H50" s="1164">
        <v>0</v>
      </c>
      <c r="I50" s="1167">
        <v>0</v>
      </c>
      <c r="J50" s="1163">
        <v>13355.25837</v>
      </c>
      <c r="K50" s="1168">
        <v>0</v>
      </c>
      <c r="L50" s="1169">
        <v>0</v>
      </c>
      <c r="M50" s="1163">
        <v>0</v>
      </c>
      <c r="N50" s="1168">
        <v>0</v>
      </c>
      <c r="O50" s="1169">
        <v>0</v>
      </c>
      <c r="P50" s="1163">
        <v>0</v>
      </c>
    </row>
    <row r="51" spans="2:16" ht="24" customHeight="1">
      <c r="B51" s="1148" t="s">
        <v>3790</v>
      </c>
      <c r="C51" s="1170" t="s">
        <v>3735</v>
      </c>
      <c r="D51" s="1151">
        <v>392.8</v>
      </c>
      <c r="E51" s="1163">
        <v>677.69897000000003</v>
      </c>
      <c r="F51" s="1151">
        <v>793.58</v>
      </c>
      <c r="G51" s="1151">
        <v>701.81790000000001</v>
      </c>
      <c r="H51" s="1164">
        <f>+H49</f>
        <v>853.1</v>
      </c>
      <c r="I51" s="1165">
        <v>741.06</v>
      </c>
      <c r="J51" s="1151">
        <v>810.22466000000009</v>
      </c>
      <c r="K51" s="1166">
        <v>955.47</v>
      </c>
      <c r="L51" s="1167">
        <v>841.53</v>
      </c>
      <c r="M51" s="1151">
        <v>943.24</v>
      </c>
      <c r="N51" s="1166">
        <f>+N49</f>
        <v>964.17</v>
      </c>
      <c r="O51" s="1167">
        <f>+O49</f>
        <v>849.19</v>
      </c>
      <c r="P51" s="1151">
        <v>956.14</v>
      </c>
    </row>
    <row r="52" spans="2:16" ht="15.75">
      <c r="B52" s="1148" t="s">
        <v>3791</v>
      </c>
      <c r="C52" s="1156" t="s">
        <v>3792</v>
      </c>
      <c r="D52" s="1157">
        <v>13227.75</v>
      </c>
      <c r="E52" s="1158">
        <v>18380.554659382433</v>
      </c>
      <c r="F52" s="1158">
        <v>17335.14</v>
      </c>
      <c r="G52" s="1158">
        <v>21445.507922469638</v>
      </c>
      <c r="H52" s="1172">
        <v>18219.23</v>
      </c>
      <c r="I52" s="1160">
        <v>15826.5</v>
      </c>
      <c r="J52" s="1157">
        <v>22987.54455298269</v>
      </c>
      <c r="K52" s="1161">
        <v>19245.52</v>
      </c>
      <c r="L52" s="1162">
        <v>16950.41</v>
      </c>
      <c r="M52" s="1157">
        <v>27938.050391705066</v>
      </c>
      <c r="N52" s="1161">
        <v>20120.04</v>
      </c>
      <c r="O52" s="1162">
        <v>17720.63</v>
      </c>
      <c r="P52" s="1157">
        <v>24174.57</v>
      </c>
    </row>
    <row r="53" spans="2:16" ht="15.75">
      <c r="B53" s="1148"/>
      <c r="C53" s="1149" t="s">
        <v>3782</v>
      </c>
      <c r="D53" s="1151"/>
      <c r="E53" s="1163"/>
      <c r="F53" s="1163">
        <v>7621.54</v>
      </c>
      <c r="G53" s="1163"/>
      <c r="H53" s="1173"/>
      <c r="I53" s="1167"/>
      <c r="J53" s="1163"/>
      <c r="K53" s="1168"/>
      <c r="L53" s="1169"/>
      <c r="M53" s="1163"/>
      <c r="N53" s="1168"/>
      <c r="O53" s="1169"/>
      <c r="P53" s="1163"/>
    </row>
    <row r="54" spans="2:16" ht="15.75">
      <c r="B54" s="1148" t="s">
        <v>3793</v>
      </c>
      <c r="C54" s="1156" t="s">
        <v>3733</v>
      </c>
      <c r="D54" s="1157">
        <v>3465.67</v>
      </c>
      <c r="E54" s="1158">
        <v>4452.3787636719007</v>
      </c>
      <c r="F54" s="1158">
        <v>5928.62</v>
      </c>
      <c r="G54" s="1158">
        <v>6908.5001393042257</v>
      </c>
      <c r="H54" s="1172">
        <v>5502.21</v>
      </c>
      <c r="I54" s="1160">
        <v>4779.6000000000004</v>
      </c>
      <c r="J54" s="1157">
        <v>6648.1314956331107</v>
      </c>
      <c r="K54" s="1161">
        <v>5812.15</v>
      </c>
      <c r="L54" s="1162">
        <v>5119.0200000000004</v>
      </c>
      <c r="M54" s="1157">
        <v>8437.2912182949294</v>
      </c>
      <c r="N54" s="1161">
        <v>6036.01</v>
      </c>
      <c r="O54" s="1162">
        <v>5316.1880000000001</v>
      </c>
      <c r="P54" s="1157">
        <v>7300.72</v>
      </c>
    </row>
    <row r="55" spans="2:16" ht="15.75">
      <c r="B55" s="1148"/>
      <c r="C55" s="1149" t="s">
        <v>3782</v>
      </c>
      <c r="D55" s="1151"/>
      <c r="E55" s="1163"/>
      <c r="F55" s="1163">
        <v>2606.5700000000002</v>
      </c>
      <c r="G55" s="1163"/>
      <c r="H55" s="1173">
        <v>0</v>
      </c>
      <c r="I55" s="1167">
        <v>0</v>
      </c>
      <c r="J55" s="1163"/>
      <c r="K55" s="1168">
        <v>0</v>
      </c>
      <c r="L55" s="1169">
        <v>0</v>
      </c>
      <c r="M55" s="1163"/>
      <c r="N55" s="1168">
        <v>0</v>
      </c>
      <c r="O55" s="1169">
        <v>0</v>
      </c>
      <c r="P55" s="1163"/>
    </row>
    <row r="56" spans="2:16" ht="15.75">
      <c r="B56" s="1148" t="s">
        <v>3794</v>
      </c>
      <c r="C56" s="1156" t="s">
        <v>3795</v>
      </c>
      <c r="D56" s="1157">
        <v>3255.88</v>
      </c>
      <c r="E56" s="1158">
        <v>3418.1616388968641</v>
      </c>
      <c r="F56" s="1158">
        <v>3481.75419303028</v>
      </c>
      <c r="G56" s="1158">
        <v>3524.6378277178787</v>
      </c>
      <c r="H56" s="1172">
        <v>3482</v>
      </c>
      <c r="I56" s="1160">
        <v>3024.71</v>
      </c>
      <c r="J56" s="1157">
        <v>2964.2738812373109</v>
      </c>
      <c r="K56" s="1161">
        <v>3841.75</v>
      </c>
      <c r="L56" s="1162">
        <v>3066.54</v>
      </c>
      <c r="M56" s="1157">
        <v>2199.8578600000005</v>
      </c>
      <c r="N56" s="1161">
        <v>3481.75</v>
      </c>
      <c r="O56" s="1162">
        <v>3066.5349999999999</v>
      </c>
      <c r="P56" s="1157">
        <v>2252.37</v>
      </c>
    </row>
    <row r="57" spans="2:16" ht="15.75">
      <c r="B57" s="1148" t="s">
        <v>3796</v>
      </c>
      <c r="C57" s="1156" t="s">
        <v>3797</v>
      </c>
      <c r="D57" s="1157">
        <f>D58+D59+D65+D67</f>
        <v>5335.99</v>
      </c>
      <c r="E57" s="1158">
        <v>3100.3597973712463</v>
      </c>
      <c r="F57" s="1158">
        <v>5757.53</v>
      </c>
      <c r="G57" s="1158">
        <v>5101.2612820837767</v>
      </c>
      <c r="H57" s="1174">
        <v>6051.16</v>
      </c>
      <c r="I57" s="1160">
        <v>5256.46</v>
      </c>
      <c r="J57" s="1157">
        <v>4242.1983201468902</v>
      </c>
      <c r="K57" s="1161">
        <v>6392.03</v>
      </c>
      <c r="L57" s="1162">
        <v>5629.75</v>
      </c>
      <c r="M57" s="1157">
        <v>1494.1897100000001</v>
      </c>
      <c r="N57" s="1161">
        <f>7835.11-271.75</f>
        <v>7563.36</v>
      </c>
      <c r="O57" s="1162">
        <f>6934.45-271.75*0.880746</f>
        <v>6695.1072745000001</v>
      </c>
      <c r="P57" s="1157">
        <v>6864.63</v>
      </c>
    </row>
    <row r="58" spans="2:16" ht="18.75" customHeight="1">
      <c r="B58" s="1148" t="s">
        <v>3798</v>
      </c>
      <c r="C58" s="1175" t="s">
        <v>3799</v>
      </c>
      <c r="D58" s="1151"/>
      <c r="E58" s="1151"/>
      <c r="F58" s="1151"/>
      <c r="G58" s="1151"/>
      <c r="H58" s="1164"/>
      <c r="I58" s="1165"/>
      <c r="J58" s="1151"/>
      <c r="K58" s="1168"/>
      <c r="L58" s="1169"/>
      <c r="M58" s="1151"/>
      <c r="N58" s="1168"/>
      <c r="O58" s="1169"/>
      <c r="P58" s="1151"/>
    </row>
    <row r="59" spans="2:16" ht="21" customHeight="1">
      <c r="B59" s="1148" t="s">
        <v>3800</v>
      </c>
      <c r="C59" s="1175" t="s">
        <v>3801</v>
      </c>
      <c r="D59" s="1151"/>
      <c r="E59" s="1151"/>
      <c r="F59" s="1151"/>
      <c r="G59" s="1151"/>
      <c r="H59" s="1164"/>
      <c r="I59" s="1165"/>
      <c r="J59" s="1151"/>
      <c r="K59" s="1168"/>
      <c r="L59" s="1169"/>
      <c r="M59" s="1151"/>
      <c r="N59" s="1168"/>
      <c r="O59" s="1176"/>
      <c r="P59" s="1151"/>
    </row>
    <row r="60" spans="2:16" ht="15.75" customHeight="1">
      <c r="B60" s="1148" t="s">
        <v>3802</v>
      </c>
      <c r="C60" s="1170" t="s">
        <v>3803</v>
      </c>
      <c r="D60" s="1151"/>
      <c r="E60" s="1151"/>
      <c r="F60" s="1151"/>
      <c r="G60" s="1151"/>
      <c r="H60" s="1164"/>
      <c r="I60" s="1165"/>
      <c r="J60" s="1151"/>
      <c r="K60" s="1168"/>
      <c r="L60" s="1169"/>
      <c r="M60" s="1151"/>
      <c r="N60" s="1168"/>
      <c r="O60" s="1169"/>
      <c r="P60" s="1151"/>
    </row>
    <row r="61" spans="2:16" ht="82.5" customHeight="1">
      <c r="B61" s="1148" t="s">
        <v>3804</v>
      </c>
      <c r="C61" s="1177" t="s">
        <v>3805</v>
      </c>
      <c r="D61" s="1151"/>
      <c r="E61" s="1151"/>
      <c r="F61" s="1151"/>
      <c r="G61" s="1151"/>
      <c r="H61" s="1164"/>
      <c r="I61" s="1165"/>
      <c r="J61" s="1151"/>
      <c r="K61" s="1168"/>
      <c r="L61" s="1169"/>
      <c r="M61" s="1151"/>
      <c r="N61" s="1168"/>
      <c r="O61" s="1169"/>
      <c r="P61" s="1151"/>
    </row>
    <row r="62" spans="2:16" ht="15.75">
      <c r="B62" s="1148" t="s">
        <v>3806</v>
      </c>
      <c r="C62" s="1149" t="s">
        <v>3807</v>
      </c>
      <c r="D62" s="1151"/>
      <c r="E62" s="1151"/>
      <c r="F62" s="1151"/>
      <c r="G62" s="1151"/>
      <c r="H62" s="1164"/>
      <c r="I62" s="1165"/>
      <c r="J62" s="1151"/>
      <c r="K62" s="1168"/>
      <c r="L62" s="1169"/>
      <c r="M62" s="1151"/>
      <c r="N62" s="1168"/>
      <c r="O62" s="1169"/>
      <c r="P62" s="1151"/>
    </row>
    <row r="63" spans="2:16" ht="15.75">
      <c r="B63" s="1148" t="s">
        <v>3808</v>
      </c>
      <c r="C63" s="1149" t="s">
        <v>3809</v>
      </c>
      <c r="D63" s="1151">
        <f>3137.28-D67</f>
        <v>0</v>
      </c>
      <c r="E63" s="1151"/>
      <c r="F63" s="1151"/>
      <c r="G63" s="1151"/>
      <c r="H63" s="1164"/>
      <c r="I63" s="1165"/>
      <c r="J63" s="1151"/>
      <c r="K63" s="1168"/>
      <c r="L63" s="1169"/>
      <c r="M63" s="1151"/>
      <c r="N63" s="1168"/>
      <c r="O63" s="1169"/>
      <c r="P63" s="1151"/>
    </row>
    <row r="64" spans="2:16" ht="28.5" customHeight="1">
      <c r="B64" s="1148" t="s">
        <v>3810</v>
      </c>
      <c r="C64" s="1170" t="s">
        <v>3811</v>
      </c>
      <c r="D64" s="1151"/>
      <c r="E64" s="1151"/>
      <c r="F64" s="1151"/>
      <c r="G64" s="1151"/>
      <c r="H64" s="1164"/>
      <c r="I64" s="1165"/>
      <c r="J64" s="1151"/>
      <c r="K64" s="1168"/>
      <c r="L64" s="1169"/>
      <c r="M64" s="1151"/>
      <c r="N64" s="1168"/>
      <c r="O64" s="1169"/>
      <c r="P64" s="1151"/>
    </row>
    <row r="65" spans="2:16" ht="15.75">
      <c r="B65" s="1148" t="s">
        <v>3812</v>
      </c>
      <c r="C65" s="1149" t="s">
        <v>3813</v>
      </c>
      <c r="D65" s="1151">
        <v>2198.71</v>
      </c>
      <c r="E65" s="1151"/>
      <c r="F65" s="1151"/>
      <c r="G65" s="1151"/>
      <c r="H65" s="1164"/>
      <c r="I65" s="1165"/>
      <c r="J65" s="1151"/>
      <c r="K65" s="1168"/>
      <c r="L65" s="1169"/>
      <c r="M65" s="1151"/>
      <c r="N65" s="1168"/>
      <c r="O65" s="1169"/>
      <c r="P65" s="1151"/>
    </row>
    <row r="66" spans="2:16" ht="15.75">
      <c r="B66" s="1148" t="s">
        <v>3814</v>
      </c>
      <c r="C66" s="1149" t="s">
        <v>3815</v>
      </c>
      <c r="D66" s="1151"/>
      <c r="E66" s="1151"/>
      <c r="F66" s="1151"/>
      <c r="G66" s="1151"/>
      <c r="H66" s="1164"/>
      <c r="I66" s="1165"/>
      <c r="J66" s="1151"/>
      <c r="K66" s="1168"/>
      <c r="L66" s="1169"/>
      <c r="M66" s="1151"/>
      <c r="N66" s="1168"/>
      <c r="O66" s="1169"/>
      <c r="P66" s="1151"/>
    </row>
    <row r="67" spans="2:16" ht="15.75">
      <c r="B67" s="1148" t="s">
        <v>3816</v>
      </c>
      <c r="C67" s="1149" t="s">
        <v>3817</v>
      </c>
      <c r="D67" s="1163">
        <f>D69+D70+D71+D72+D73</f>
        <v>3137.28</v>
      </c>
      <c r="E67" s="1168">
        <f t="shared" ref="E67:L67" si="1">+E57</f>
        <v>3100.3597973712463</v>
      </c>
      <c r="F67" s="1168">
        <f t="shared" si="1"/>
        <v>5757.53</v>
      </c>
      <c r="G67" s="1168">
        <f t="shared" si="1"/>
        <v>5101.2612820837767</v>
      </c>
      <c r="H67" s="1168">
        <f t="shared" si="1"/>
        <v>6051.16</v>
      </c>
      <c r="I67" s="1168">
        <f t="shared" si="1"/>
        <v>5256.46</v>
      </c>
      <c r="J67" s="1168">
        <f t="shared" si="1"/>
        <v>4242.1983201468902</v>
      </c>
      <c r="K67" s="1168">
        <f t="shared" si="1"/>
        <v>6392.03</v>
      </c>
      <c r="L67" s="1169">
        <f t="shared" si="1"/>
        <v>5629.75</v>
      </c>
      <c r="M67" s="1151">
        <v>1494.1897100000001</v>
      </c>
      <c r="N67" s="1168">
        <f>+N57</f>
        <v>7563.36</v>
      </c>
      <c r="O67" s="1169">
        <f>+O57</f>
        <v>6695.1072745000001</v>
      </c>
      <c r="P67" s="1169">
        <f>+P57</f>
        <v>6864.63</v>
      </c>
    </row>
    <row r="68" spans="2:16" ht="15.75">
      <c r="B68" s="1148" t="s">
        <v>4794</v>
      </c>
      <c r="C68" s="1149" t="s">
        <v>3818</v>
      </c>
      <c r="D68" s="1151"/>
      <c r="E68" s="1151"/>
      <c r="F68" s="1151"/>
      <c r="G68" s="1151"/>
      <c r="H68" s="1164"/>
      <c r="I68" s="1165"/>
      <c r="J68" s="1151"/>
      <c r="K68" s="1168"/>
      <c r="L68" s="1169"/>
      <c r="M68" s="1151"/>
      <c r="N68" s="1168"/>
      <c r="O68" s="1169"/>
      <c r="P68" s="1151"/>
    </row>
    <row r="69" spans="2:16" ht="15.75">
      <c r="B69" s="1148" t="s">
        <v>3819</v>
      </c>
      <c r="C69" s="1149" t="s">
        <v>3820</v>
      </c>
      <c r="D69" s="1151">
        <v>195.58</v>
      </c>
      <c r="E69" s="1151"/>
      <c r="F69" s="1151"/>
      <c r="G69" s="1151"/>
      <c r="H69" s="1164"/>
      <c r="I69" s="1165"/>
      <c r="J69" s="1151"/>
      <c r="K69" s="1168"/>
      <c r="L69" s="1169"/>
      <c r="M69" s="1151"/>
      <c r="N69" s="1168"/>
      <c r="O69" s="1169"/>
      <c r="P69" s="1151"/>
    </row>
    <row r="70" spans="2:16" ht="15.75">
      <c r="B70" s="1148"/>
      <c r="C70" s="1149" t="s">
        <v>3821</v>
      </c>
      <c r="D70" s="1151">
        <v>625.47</v>
      </c>
      <c r="E70" s="1151"/>
      <c r="F70" s="1151"/>
      <c r="G70" s="1151"/>
      <c r="H70" s="1164"/>
      <c r="I70" s="1165"/>
      <c r="J70" s="1151"/>
      <c r="K70" s="1168"/>
      <c r="L70" s="1169"/>
      <c r="M70" s="1151"/>
      <c r="N70" s="1168"/>
      <c r="O70" s="1169"/>
      <c r="P70" s="1151"/>
    </row>
    <row r="71" spans="2:16" ht="15.75">
      <c r="B71" s="1148"/>
      <c r="C71" s="1149" t="s">
        <v>3822</v>
      </c>
      <c r="D71" s="1151">
        <v>102.64</v>
      </c>
      <c r="E71" s="1151"/>
      <c r="F71" s="1151"/>
      <c r="G71" s="1151"/>
      <c r="H71" s="1164"/>
      <c r="I71" s="1165"/>
      <c r="J71" s="1151"/>
      <c r="K71" s="1168"/>
      <c r="L71" s="1169"/>
      <c r="M71" s="1151"/>
      <c r="N71" s="1168"/>
      <c r="O71" s="1169"/>
      <c r="P71" s="1151"/>
    </row>
    <row r="72" spans="2:16" ht="15.75">
      <c r="B72" s="1148"/>
      <c r="C72" s="1149" t="s">
        <v>3823</v>
      </c>
      <c r="D72" s="1151">
        <v>0</v>
      </c>
      <c r="E72" s="1151"/>
      <c r="F72" s="1151"/>
      <c r="G72" s="1151"/>
      <c r="H72" s="1164"/>
      <c r="I72" s="1165"/>
      <c r="J72" s="1151"/>
      <c r="K72" s="1168"/>
      <c r="L72" s="1169"/>
      <c r="M72" s="1151"/>
      <c r="N72" s="1168"/>
      <c r="O72" s="1169"/>
      <c r="P72" s="1151"/>
    </row>
    <row r="73" spans="2:16" ht="15.75">
      <c r="B73" s="1148"/>
      <c r="C73" s="1149" t="s">
        <v>3824</v>
      </c>
      <c r="D73" s="1151">
        <f>1292.83+920.76</f>
        <v>2213.59</v>
      </c>
      <c r="E73" s="1151"/>
      <c r="F73" s="1151"/>
      <c r="G73" s="1151"/>
      <c r="H73" s="1164"/>
      <c r="I73" s="1165"/>
      <c r="J73" s="1151"/>
      <c r="K73" s="1168"/>
      <c r="L73" s="1169"/>
      <c r="M73" s="1151"/>
      <c r="N73" s="1168"/>
      <c r="O73" s="1169"/>
      <c r="P73" s="1151"/>
    </row>
    <row r="74" spans="2:16" ht="15.75">
      <c r="B74" s="1148" t="s">
        <v>3825</v>
      </c>
      <c r="C74" s="1156" t="s">
        <v>3826</v>
      </c>
      <c r="D74" s="1157">
        <f>D43+D44+D46+D48+D49+D52+D54+D56+D57</f>
        <v>31605.760000000002</v>
      </c>
      <c r="E74" s="1157">
        <f>E43+E44+E46+E48+E49+E52+E54+E56+E57</f>
        <v>47016.239579322435</v>
      </c>
      <c r="F74" s="1157">
        <f>F43+F44+F46+F48+F49+F52+F54+F56+F57</f>
        <v>42518.304193030286</v>
      </c>
      <c r="G74" s="1157">
        <f>G43+G44+G46+G48+G49+G52+G54+G56+G57</f>
        <v>61106.681741575521</v>
      </c>
      <c r="H74" s="1159">
        <f t="shared" ref="H74:N74" si="2">H43+H44+H46+H48+H49+H52+H54+H56+H57</f>
        <v>48350.44</v>
      </c>
      <c r="I74" s="1160">
        <f t="shared" si="2"/>
        <v>42000.57</v>
      </c>
      <c r="J74" s="1160">
        <f t="shared" si="2"/>
        <v>58572.843140000004</v>
      </c>
      <c r="K74" s="1178">
        <f t="shared" si="2"/>
        <v>51291.95</v>
      </c>
      <c r="L74" s="1160">
        <f t="shared" si="2"/>
        <v>44858.1</v>
      </c>
      <c r="M74" s="1160">
        <f>M43+M44+M46+M48+M49+M52+M54+M56+M57</f>
        <v>53636.117406271187</v>
      </c>
      <c r="N74" s="1178">
        <f t="shared" si="2"/>
        <v>53894.01</v>
      </c>
      <c r="O74" s="1160">
        <f>O43+O44+O46+O48+O49+O52+O54+O56+O57</f>
        <v>47500.610274499995</v>
      </c>
      <c r="P74" s="1160">
        <f>P43+P44+P46+P48+P49+P52+P54+P56+P57</f>
        <v>55152.85</v>
      </c>
    </row>
    <row r="75" spans="2:16" ht="15.75">
      <c r="B75" s="1148"/>
      <c r="C75" s="1149" t="s">
        <v>3782</v>
      </c>
      <c r="D75" s="1151"/>
      <c r="E75" s="1151"/>
      <c r="F75" s="1151"/>
      <c r="G75" s="1151"/>
      <c r="H75" s="1164"/>
      <c r="I75" s="1165"/>
      <c r="J75" s="1151"/>
      <c r="K75" s="1168"/>
      <c r="L75" s="1169"/>
      <c r="M75" s="1151"/>
      <c r="N75" s="1168"/>
      <c r="O75" s="1169"/>
      <c r="P75" s="1151"/>
    </row>
    <row r="76" spans="2:16" ht="15.75">
      <c r="B76" s="1148" t="s">
        <v>3827</v>
      </c>
      <c r="C76" s="1149" t="s">
        <v>3828</v>
      </c>
      <c r="D76" s="1151">
        <v>3551.24</v>
      </c>
      <c r="E76" s="1151"/>
      <c r="F76" s="1151">
        <v>191.82</v>
      </c>
      <c r="G76" s="1151"/>
      <c r="H76" s="1164"/>
      <c r="I76" s="1165"/>
      <c r="J76" s="1151"/>
      <c r="K76" s="1168"/>
      <c r="L76" s="1169">
        <v>761.76</v>
      </c>
      <c r="M76" s="1151"/>
      <c r="N76" s="1168"/>
      <c r="O76" s="1169"/>
      <c r="P76" s="1151"/>
    </row>
    <row r="77" spans="2:16" ht="15.75">
      <c r="B77" s="1148" t="s">
        <v>3829</v>
      </c>
      <c r="C77" s="1149" t="s">
        <v>3760</v>
      </c>
      <c r="D77" s="1151"/>
      <c r="E77" s="1151"/>
      <c r="F77" s="1151">
        <v>985.09</v>
      </c>
      <c r="G77" s="1151"/>
      <c r="H77" s="1164"/>
      <c r="I77" s="1165"/>
      <c r="J77" s="1151"/>
      <c r="K77" s="1168"/>
      <c r="L77" s="1169"/>
      <c r="M77" s="1151"/>
      <c r="N77" s="1168"/>
      <c r="O77" s="1169"/>
      <c r="P77" s="1151"/>
    </row>
    <row r="78" spans="2:16" ht="15.75">
      <c r="B78" s="1148" t="s">
        <v>3830</v>
      </c>
      <c r="C78" s="1149" t="s">
        <v>3831</v>
      </c>
      <c r="D78" s="1157">
        <f>D74+D76-D77</f>
        <v>35157</v>
      </c>
      <c r="E78" s="1157">
        <f>E74+E76-E77</f>
        <v>47016.239579322435</v>
      </c>
      <c r="F78" s="1157">
        <f>F74+F76-F77</f>
        <v>41725.034193030289</v>
      </c>
      <c r="G78" s="1157">
        <f>G74+G76-G77</f>
        <v>61106.681741575521</v>
      </c>
      <c r="H78" s="1159">
        <f t="shared" ref="H78:N78" si="3">H74+H76-H77</f>
        <v>48350.44</v>
      </c>
      <c r="I78" s="1160">
        <f>I74+I76-I77</f>
        <v>42000.57</v>
      </c>
      <c r="J78" s="1160">
        <f>J74+J76-J77</f>
        <v>58572.843140000004</v>
      </c>
      <c r="K78" s="1178">
        <f t="shared" si="3"/>
        <v>51291.95</v>
      </c>
      <c r="L78" s="1160">
        <f t="shared" si="3"/>
        <v>45619.86</v>
      </c>
      <c r="M78" s="1160">
        <f>M74+M76-M77</f>
        <v>53636.117406271187</v>
      </c>
      <c r="N78" s="1178">
        <f t="shared" si="3"/>
        <v>53894.01</v>
      </c>
      <c r="O78" s="1160">
        <f>O74+O76-O77</f>
        <v>47500.610274499995</v>
      </c>
      <c r="P78" s="1160">
        <f>P74+P76-P77</f>
        <v>55152.85</v>
      </c>
    </row>
    <row r="79" spans="2:16" ht="15.75">
      <c r="B79" s="1148" t="s">
        <v>3832</v>
      </c>
      <c r="C79" s="1156" t="s">
        <v>4776</v>
      </c>
      <c r="D79" s="1151">
        <v>5185</v>
      </c>
      <c r="E79" s="1151">
        <v>4268.2945695381104</v>
      </c>
      <c r="F79" s="1157">
        <v>1051.6300000000001</v>
      </c>
      <c r="G79" s="1157">
        <v>7439.7911555270703</v>
      </c>
      <c r="H79" s="1159">
        <f>480.83+14.23+123.77+298.9</f>
        <v>917.73</v>
      </c>
      <c r="I79" s="1160">
        <f>107.5+259.67+417.69+12.36</f>
        <v>797.22</v>
      </c>
      <c r="J79" s="1157">
        <v>4530.46</v>
      </c>
      <c r="K79" s="1179">
        <v>1167.53</v>
      </c>
      <c r="L79" s="1180">
        <v>1028.3</v>
      </c>
      <c r="M79" s="1157">
        <v>2472.0683423525684</v>
      </c>
      <c r="N79" s="1179">
        <f>3266+271.75+884.44</f>
        <v>4422.1900000000005</v>
      </c>
      <c r="O79" s="1180">
        <f>3266+271.75*0.880746+842.63</f>
        <v>4347.9727254999998</v>
      </c>
      <c r="P79" s="1157">
        <f>4504.1+278.25+1195.59</f>
        <v>5977.9400000000005</v>
      </c>
    </row>
    <row r="80" spans="2:16" ht="15.75">
      <c r="B80" s="1181" t="s">
        <v>3833</v>
      </c>
      <c r="C80" s="1149" t="s">
        <v>3834</v>
      </c>
      <c r="D80" s="1151"/>
      <c r="E80" s="1151"/>
      <c r="F80" s="1157"/>
      <c r="G80" s="1157"/>
      <c r="H80" s="1159"/>
      <c r="I80" s="1160"/>
      <c r="J80" s="1157">
        <v>3220.9059999999999</v>
      </c>
      <c r="K80" s="1168"/>
      <c r="L80" s="1169"/>
      <c r="M80" s="1151">
        <v>1314.97</v>
      </c>
      <c r="N80" s="1168">
        <f>3266</f>
        <v>3266</v>
      </c>
      <c r="O80" s="1169">
        <f>3266</f>
        <v>3266</v>
      </c>
      <c r="P80" s="1151">
        <f>4504.1</f>
        <v>4504.1000000000004</v>
      </c>
    </row>
    <row r="81" spans="2:16" ht="15.75" hidden="1" customHeight="1">
      <c r="B81" s="1181" t="s">
        <v>3835</v>
      </c>
      <c r="C81" s="1149" t="s">
        <v>3836</v>
      </c>
      <c r="D81" s="1151"/>
      <c r="E81" s="1151"/>
      <c r="F81" s="1157"/>
      <c r="G81" s="1157"/>
      <c r="H81" s="1159"/>
      <c r="I81" s="1160"/>
      <c r="J81" s="1157"/>
      <c r="K81" s="1168"/>
      <c r="L81" s="1169"/>
      <c r="M81" s="1157"/>
      <c r="N81" s="1168"/>
      <c r="O81" s="1169"/>
      <c r="P81" s="1157"/>
    </row>
    <row r="82" spans="2:16" ht="15.75" hidden="1" customHeight="1">
      <c r="B82" s="1181" t="s">
        <v>3837</v>
      </c>
      <c r="C82" s="1149" t="s">
        <v>3838</v>
      </c>
      <c r="D82" s="1151"/>
      <c r="E82" s="1151"/>
      <c r="F82" s="1157"/>
      <c r="G82" s="1157"/>
      <c r="H82" s="1159"/>
      <c r="I82" s="1160"/>
      <c r="J82" s="1157"/>
      <c r="K82" s="1168"/>
      <c r="L82" s="1169"/>
      <c r="M82" s="1157"/>
      <c r="N82" s="1168"/>
      <c r="O82" s="1169"/>
      <c r="P82" s="1157"/>
    </row>
    <row r="83" spans="2:16" ht="16.5" thickBot="1">
      <c r="B83" s="1182" t="s">
        <v>3839</v>
      </c>
      <c r="C83" s="1183" t="s">
        <v>3763</v>
      </c>
      <c r="D83" s="1184">
        <f>D78+D79</f>
        <v>40342</v>
      </c>
      <c r="E83" s="1184">
        <f>E78+E79</f>
        <v>51284.534148860548</v>
      </c>
      <c r="F83" s="1184">
        <f t="shared" ref="F83:L83" si="4">F78+F79</f>
        <v>42776.664193030287</v>
      </c>
      <c r="G83" s="1184">
        <f t="shared" si="4"/>
        <v>68546.472897102591</v>
      </c>
      <c r="H83" s="1185">
        <f t="shared" si="4"/>
        <v>49268.170000000006</v>
      </c>
      <c r="I83" s="1186">
        <f>I78+I79</f>
        <v>42797.79</v>
      </c>
      <c r="J83" s="1186">
        <f>J78+J79</f>
        <v>63103.303140000004</v>
      </c>
      <c r="K83" s="1187">
        <f t="shared" si="4"/>
        <v>52459.479999999996</v>
      </c>
      <c r="L83" s="1186">
        <f t="shared" si="4"/>
        <v>46648.160000000003</v>
      </c>
      <c r="M83" s="1186">
        <f>M78+M79</f>
        <v>56108.185748623757</v>
      </c>
      <c r="N83" s="1187">
        <f>N78+N79</f>
        <v>58316.200000000004</v>
      </c>
      <c r="O83" s="1186">
        <f>O78+O79</f>
        <v>51848.582999999999</v>
      </c>
      <c r="P83" s="1186">
        <f>P78+P79</f>
        <v>61130.79</v>
      </c>
    </row>
    <row r="84" spans="2:16" ht="16.5" thickBot="1">
      <c r="B84" s="1188" t="s">
        <v>3840</v>
      </c>
      <c r="C84" s="1189" t="s">
        <v>3841</v>
      </c>
      <c r="D84" s="1184"/>
      <c r="E84" s="1184"/>
      <c r="F84" s="1184"/>
      <c r="G84" s="1184"/>
      <c r="H84" s="1184"/>
      <c r="I84" s="1184"/>
      <c r="J84" s="1184"/>
      <c r="K84" s="1184"/>
      <c r="L84" s="1184"/>
      <c r="M84" s="1184"/>
      <c r="N84" s="1184"/>
      <c r="O84" s="1184"/>
      <c r="P84" s="1184"/>
    </row>
    <row r="85" spans="2:16" ht="16.5" thickBot="1">
      <c r="B85" s="1190" t="s">
        <v>3842</v>
      </c>
      <c r="C85" s="1191" t="s">
        <v>3843</v>
      </c>
      <c r="D85" s="1184"/>
      <c r="E85" s="1184"/>
      <c r="F85" s="1184"/>
      <c r="G85" s="1184"/>
      <c r="H85" s="1184"/>
      <c r="I85" s="1184"/>
      <c r="J85" s="1184"/>
      <c r="K85" s="1184"/>
      <c r="L85" s="1184"/>
      <c r="M85" s="1184"/>
      <c r="N85" s="1184"/>
      <c r="O85" s="1184"/>
      <c r="P85" s="1184"/>
    </row>
    <row r="86" spans="2:16">
      <c r="H86" s="1192"/>
      <c r="K86" s="1192"/>
    </row>
  </sheetData>
  <mergeCells count="22">
    <mergeCell ref="B40:B41"/>
    <mergeCell ref="C40:C41"/>
    <mergeCell ref="D40:D41"/>
    <mergeCell ref="E40:E41"/>
    <mergeCell ref="J3:J4"/>
    <mergeCell ref="H40:H41"/>
    <mergeCell ref="I40:I41"/>
    <mergeCell ref="F40:F41"/>
    <mergeCell ref="G40:G41"/>
    <mergeCell ref="H3:H4"/>
    <mergeCell ref="P40:P41"/>
    <mergeCell ref="L40:L41"/>
    <mergeCell ref="J40:J41"/>
    <mergeCell ref="M40:M41"/>
    <mergeCell ref="O40:O41"/>
    <mergeCell ref="N40:N41"/>
    <mergeCell ref="K40:K41"/>
    <mergeCell ref="I3:I4"/>
    <mergeCell ref="D3:D4"/>
    <mergeCell ref="E3:E4"/>
    <mergeCell ref="F3:F4"/>
    <mergeCell ref="G3:G4"/>
  </mergeCells>
  <phoneticPr fontId="0" type="noConversion"/>
  <hyperlinks>
    <hyperlink ref="B1" location="Главная!A1" display="Переход на главную страницу"/>
  </hyperlinks>
  <pageMargins left="0.7" right="0.7" top="0.75" bottom="0.75" header="0.3" footer="0.3"/>
  <pageSetup paperSize="9" scale="31" orientation="landscape" r:id="rId1"/>
</worksheet>
</file>

<file path=xl/worksheets/sheet35.xml><?xml version="1.0" encoding="utf-8"?>
<worksheet xmlns="http://schemas.openxmlformats.org/spreadsheetml/2006/main" xmlns:r="http://schemas.openxmlformats.org/officeDocument/2006/relationships">
  <dimension ref="B1:I68"/>
  <sheetViews>
    <sheetView view="pageBreakPreview" topLeftCell="A46" zoomScaleNormal="100" zoomScaleSheetLayoutView="100" workbookViewId="0">
      <selection activeCell="F71" sqref="F71"/>
    </sheetView>
  </sheetViews>
  <sheetFormatPr defaultRowHeight="15"/>
  <cols>
    <col min="1" max="1" width="12.85546875" customWidth="1"/>
    <col min="2" max="9" width="17.140625" customWidth="1"/>
  </cols>
  <sheetData>
    <row r="1" spans="2:9" ht="15.75">
      <c r="B1" s="79" t="s">
        <v>724</v>
      </c>
    </row>
    <row r="2" spans="2:9" ht="21">
      <c r="B2" s="234"/>
      <c r="I2" t="s">
        <v>3845</v>
      </c>
    </row>
    <row r="3" spans="2:9" ht="15.75">
      <c r="B3" s="1193" t="s">
        <v>1692</v>
      </c>
      <c r="C3" s="1194"/>
      <c r="D3" s="1194"/>
      <c r="E3" s="1194"/>
      <c r="F3" s="1194"/>
      <c r="G3" s="1194"/>
      <c r="H3" s="1194"/>
      <c r="I3" s="1194"/>
    </row>
    <row r="4" spans="2:9" ht="15.75">
      <c r="B4" s="1193" t="s">
        <v>1693</v>
      </c>
      <c r="C4" s="1194"/>
      <c r="D4" s="1194"/>
      <c r="E4" s="1194"/>
      <c r="F4" s="1194"/>
      <c r="G4" s="1194"/>
      <c r="H4" s="1194"/>
      <c r="I4" s="1194"/>
    </row>
    <row r="5" spans="2:9" ht="15.75" thickBot="1">
      <c r="B5" s="1946"/>
      <c r="C5" s="1946"/>
      <c r="D5" s="1946"/>
      <c r="E5" s="1946"/>
      <c r="F5" s="1946"/>
      <c r="G5" s="1946"/>
      <c r="H5" s="1946"/>
      <c r="I5" s="1946"/>
    </row>
    <row r="6" spans="2:9" ht="15.75" thickTop="1">
      <c r="B6" s="1195" t="s">
        <v>1694</v>
      </c>
      <c r="C6" s="1196"/>
      <c r="D6" s="1196"/>
      <c r="E6" s="1195" t="s">
        <v>1695</v>
      </c>
      <c r="F6" s="1196"/>
      <c r="G6" s="1195" t="s">
        <v>1696</v>
      </c>
      <c r="H6" s="1196"/>
      <c r="I6" s="1197"/>
    </row>
    <row r="7" spans="2:9" ht="20.25" thickBot="1">
      <c r="B7" s="1198" t="s">
        <v>1697</v>
      </c>
      <c r="C7" s="1199" t="s">
        <v>1698</v>
      </c>
      <c r="D7" s="1199" t="s">
        <v>1699</v>
      </c>
      <c r="E7" s="1198" t="s">
        <v>1700</v>
      </c>
      <c r="F7" s="1199" t="s">
        <v>1701</v>
      </c>
      <c r="G7" s="1198" t="s">
        <v>1697</v>
      </c>
      <c r="H7" s="1199" t="s">
        <v>1698</v>
      </c>
      <c r="I7" s="1200" t="s">
        <v>1699</v>
      </c>
    </row>
    <row r="8" spans="2:9" ht="16.5" thickTop="1" thickBot="1">
      <c r="B8" s="1201">
        <v>124249944.94</v>
      </c>
      <c r="C8" s="1201">
        <v>32208094.510000002</v>
      </c>
      <c r="D8" s="1202">
        <v>92041850.430000007</v>
      </c>
      <c r="E8" s="1203">
        <v>17549830.370000001</v>
      </c>
      <c r="F8" s="1204">
        <v>6405679.2000000002</v>
      </c>
      <c r="G8" s="1203">
        <v>141799775.31</v>
      </c>
      <c r="H8" s="1201">
        <v>38613773.710000001</v>
      </c>
      <c r="I8" s="1204">
        <v>103186001.59999999</v>
      </c>
    </row>
    <row r="9" spans="2:9" ht="15.75" thickTop="1"/>
    <row r="10" spans="2:9" ht="15.75">
      <c r="B10" s="1947" t="s">
        <v>1692</v>
      </c>
      <c r="C10" s="1947"/>
      <c r="D10" s="1947"/>
      <c r="E10" s="1947"/>
      <c r="F10" s="1947"/>
      <c r="G10" s="1947"/>
      <c r="H10" s="1947"/>
      <c r="I10" s="1947"/>
    </row>
    <row r="11" spans="2:9" ht="15.75">
      <c r="B11" s="1947" t="s">
        <v>1702</v>
      </c>
      <c r="C11" s="1947"/>
      <c r="D11" s="1947"/>
      <c r="E11" s="1947"/>
      <c r="F11" s="1947"/>
      <c r="G11" s="1947"/>
      <c r="H11" s="1947"/>
      <c r="I11" s="1947"/>
    </row>
    <row r="12" spans="2:9">
      <c r="B12" s="1946"/>
      <c r="C12" s="1946"/>
      <c r="D12" s="1946"/>
      <c r="E12" s="1946"/>
      <c r="F12" s="1946"/>
      <c r="G12" s="1946"/>
      <c r="H12" s="1946"/>
      <c r="I12" s="1946"/>
    </row>
    <row r="13" spans="2:9">
      <c r="B13" s="1205" t="s">
        <v>1694</v>
      </c>
      <c r="C13" s="1205"/>
      <c r="D13" s="1205"/>
      <c r="E13" s="1205" t="s">
        <v>1695</v>
      </c>
      <c r="F13" s="1205"/>
      <c r="G13" s="1205" t="s">
        <v>1696</v>
      </c>
      <c r="H13" s="1205"/>
      <c r="I13" s="1205"/>
    </row>
    <row r="14" spans="2:9" ht="19.5">
      <c r="B14" s="1206" t="s">
        <v>1697</v>
      </c>
      <c r="C14" s="1206" t="s">
        <v>1698</v>
      </c>
      <c r="D14" s="1206" t="s">
        <v>1699</v>
      </c>
      <c r="E14" s="1206" t="s">
        <v>1700</v>
      </c>
      <c r="F14" s="1206" t="s">
        <v>1701</v>
      </c>
      <c r="G14" s="1206" t="s">
        <v>1697</v>
      </c>
      <c r="H14" s="1206" t="s">
        <v>1698</v>
      </c>
      <c r="I14" s="1206" t="s">
        <v>1699</v>
      </c>
    </row>
    <row r="15" spans="2:9">
      <c r="B15" s="1207">
        <v>141799775.31</v>
      </c>
      <c r="C15" s="1207">
        <v>38613773.710000001</v>
      </c>
      <c r="D15" s="1207">
        <v>103186001.59999999</v>
      </c>
      <c r="E15" s="1207">
        <v>25033695.539999999</v>
      </c>
      <c r="F15" s="1207">
        <v>8247596.6200000001</v>
      </c>
      <c r="G15" s="1207">
        <v>166833470.84999999</v>
      </c>
      <c r="H15" s="1207">
        <v>46861370.329999998</v>
      </c>
      <c r="I15" s="1207">
        <v>119972100.52</v>
      </c>
    </row>
    <row r="17" spans="2:9" ht="15.75">
      <c r="B17" s="1947" t="s">
        <v>1692</v>
      </c>
      <c r="C17" s="1947"/>
      <c r="D17" s="1947"/>
      <c r="E17" s="1947"/>
      <c r="F17" s="1947"/>
      <c r="G17" s="1947"/>
      <c r="H17" s="1947"/>
      <c r="I17" s="1947"/>
    </row>
    <row r="18" spans="2:9" ht="15.75">
      <c r="B18" s="1947" t="s">
        <v>1703</v>
      </c>
      <c r="C18" s="1947"/>
      <c r="D18" s="1947"/>
      <c r="E18" s="1947"/>
      <c r="F18" s="1947"/>
      <c r="G18" s="1947"/>
      <c r="H18" s="1947"/>
      <c r="I18" s="1947"/>
    </row>
    <row r="19" spans="2:9">
      <c r="B19" s="1946"/>
      <c r="C19" s="1946"/>
      <c r="D19" s="1946"/>
      <c r="E19" s="1946"/>
      <c r="F19" s="1946"/>
      <c r="G19" s="1946"/>
      <c r="H19" s="1946"/>
      <c r="I19" s="1946"/>
    </row>
    <row r="20" spans="2:9">
      <c r="B20" s="1205" t="s">
        <v>1694</v>
      </c>
      <c r="C20" s="1205"/>
      <c r="D20" s="1205"/>
      <c r="E20" s="1205" t="s">
        <v>1695</v>
      </c>
      <c r="F20" s="1205"/>
      <c r="G20" s="1205" t="s">
        <v>1696</v>
      </c>
      <c r="H20" s="1205"/>
      <c r="I20" s="1205"/>
    </row>
    <row r="21" spans="2:9" ht="19.5">
      <c r="B21" s="1206" t="s">
        <v>1697</v>
      </c>
      <c r="C21" s="1206" t="s">
        <v>1698</v>
      </c>
      <c r="D21" s="1206" t="s">
        <v>1699</v>
      </c>
      <c r="E21" s="1206" t="s">
        <v>1700</v>
      </c>
      <c r="F21" s="1206" t="s">
        <v>1701</v>
      </c>
      <c r="G21" s="1206" t="s">
        <v>1697</v>
      </c>
      <c r="H21" s="1206" t="s">
        <v>1698</v>
      </c>
      <c r="I21" s="1206" t="s">
        <v>1699</v>
      </c>
    </row>
    <row r="22" spans="2:9">
      <c r="B22" s="1208">
        <v>166833470.84999999</v>
      </c>
      <c r="C22" s="1208">
        <v>46861370.329999998</v>
      </c>
      <c r="D22" s="1208">
        <v>119972100.52</v>
      </c>
      <c r="E22" s="1208">
        <v>28883958.289999999</v>
      </c>
      <c r="F22" s="1208">
        <v>8863319.4199999999</v>
      </c>
      <c r="G22" s="1208">
        <v>195717429.13999999</v>
      </c>
      <c r="H22" s="1208">
        <v>55724689.75</v>
      </c>
      <c r="I22" s="1208">
        <v>139992739.38999999</v>
      </c>
    </row>
    <row r="24" spans="2:9" ht="15.75">
      <c r="B24" s="1947" t="s">
        <v>1692</v>
      </c>
      <c r="C24" s="1947"/>
      <c r="D24" s="1947"/>
      <c r="E24" s="1947"/>
      <c r="F24" s="1947"/>
      <c r="G24" s="1947"/>
      <c r="H24" s="1947"/>
      <c r="I24" s="1947"/>
    </row>
    <row r="25" spans="2:9" ht="15.75">
      <c r="B25" s="1947" t="s">
        <v>1704</v>
      </c>
      <c r="C25" s="1947"/>
      <c r="D25" s="1947"/>
      <c r="E25" s="1947"/>
      <c r="F25" s="1947"/>
      <c r="G25" s="1947"/>
      <c r="H25" s="1947"/>
      <c r="I25" s="1947"/>
    </row>
    <row r="26" spans="2:9">
      <c r="B26" s="1946" t="s">
        <v>4794</v>
      </c>
      <c r="C26" s="1946"/>
      <c r="D26" s="1946"/>
      <c r="E26" s="1946"/>
      <c r="F26" s="1946"/>
      <c r="G26" s="1946"/>
      <c r="H26" s="1946"/>
      <c r="I26" s="1946"/>
    </row>
    <row r="27" spans="2:9">
      <c r="B27" s="1205" t="s">
        <v>1694</v>
      </c>
      <c r="C27" s="1205"/>
      <c r="D27" s="1205"/>
      <c r="E27" s="1205" t="s">
        <v>1695</v>
      </c>
      <c r="F27" s="1205"/>
      <c r="G27" s="1205" t="s">
        <v>1696</v>
      </c>
      <c r="H27" s="1205"/>
      <c r="I27" s="1205"/>
    </row>
    <row r="28" spans="2:9" ht="19.5">
      <c r="B28" s="1206" t="s">
        <v>1697</v>
      </c>
      <c r="C28" s="1206" t="s">
        <v>1698</v>
      </c>
      <c r="D28" s="1206" t="s">
        <v>1699</v>
      </c>
      <c r="E28" s="1206" t="s">
        <v>1700</v>
      </c>
      <c r="F28" s="1206" t="s">
        <v>1701</v>
      </c>
      <c r="G28" s="1206" t="s">
        <v>1697</v>
      </c>
      <c r="H28" s="1206" t="s">
        <v>1698</v>
      </c>
      <c r="I28" s="1206" t="s">
        <v>1699</v>
      </c>
    </row>
    <row r="29" spans="2:9">
      <c r="B29" s="1207">
        <v>195717429.13999999</v>
      </c>
      <c r="C29" s="1207">
        <v>55724689.75</v>
      </c>
      <c r="D29" s="1207">
        <v>139992739.38999999</v>
      </c>
      <c r="E29" s="1207">
        <v>28131902.84</v>
      </c>
      <c r="F29" s="1207">
        <v>13447571.970000001</v>
      </c>
      <c r="G29" s="1207">
        <v>223849331.97999999</v>
      </c>
      <c r="H29" s="1207">
        <v>69172261.719999999</v>
      </c>
      <c r="I29" s="1207">
        <v>154677070.25999999</v>
      </c>
    </row>
    <row r="31" spans="2:9" ht="15.75">
      <c r="B31" s="1947" t="s">
        <v>1692</v>
      </c>
      <c r="C31" s="1947"/>
      <c r="D31" s="1947"/>
      <c r="E31" s="1947"/>
      <c r="F31" s="1947"/>
      <c r="G31" s="1947"/>
      <c r="H31" s="1947"/>
      <c r="I31" s="1947"/>
    </row>
    <row r="32" spans="2:9" ht="15.75">
      <c r="B32" s="1947" t="s">
        <v>1705</v>
      </c>
      <c r="C32" s="1947"/>
      <c r="D32" s="1947"/>
      <c r="E32" s="1947"/>
      <c r="F32" s="1947"/>
      <c r="G32" s="1947"/>
      <c r="H32" s="1947"/>
      <c r="I32" s="1947"/>
    </row>
    <row r="33" spans="2:9">
      <c r="B33" s="1946" t="s">
        <v>4794</v>
      </c>
      <c r="C33" s="1946"/>
      <c r="D33" s="1946"/>
      <c r="E33" s="1946"/>
      <c r="F33" s="1946"/>
      <c r="G33" s="1946"/>
      <c r="H33" s="1946"/>
      <c r="I33" s="1946"/>
    </row>
    <row r="34" spans="2:9">
      <c r="B34" s="1205" t="s">
        <v>1694</v>
      </c>
      <c r="C34" s="1205"/>
      <c r="D34" s="1205"/>
      <c r="E34" s="1205" t="s">
        <v>1695</v>
      </c>
      <c r="F34" s="1205"/>
      <c r="G34" s="1205" t="s">
        <v>1696</v>
      </c>
      <c r="H34" s="1205"/>
      <c r="I34" s="1205"/>
    </row>
    <row r="35" spans="2:9" ht="19.5">
      <c r="B35" s="1206" t="s">
        <v>1697</v>
      </c>
      <c r="C35" s="1206" t="s">
        <v>1698</v>
      </c>
      <c r="D35" s="1206" t="s">
        <v>1699</v>
      </c>
      <c r="E35" s="1206" t="s">
        <v>1700</v>
      </c>
      <c r="F35" s="1206" t="s">
        <v>1701</v>
      </c>
      <c r="G35" s="1206" t="s">
        <v>1697</v>
      </c>
      <c r="H35" s="1206" t="s">
        <v>1698</v>
      </c>
      <c r="I35" s="1206" t="s">
        <v>1699</v>
      </c>
    </row>
    <row r="36" spans="2:9">
      <c r="B36" s="1207">
        <v>223849331.97999999</v>
      </c>
      <c r="C36" s="1207">
        <v>67165941.939999998</v>
      </c>
      <c r="D36" s="1207">
        <v>156683390.03999999</v>
      </c>
      <c r="E36" s="1207">
        <v>6867999.0800000001</v>
      </c>
      <c r="F36" s="1207">
        <v>12534723.65</v>
      </c>
      <c r="G36" s="1207">
        <v>230717331.06</v>
      </c>
      <c r="H36" s="1207">
        <v>79700665.590000004</v>
      </c>
      <c r="I36" s="1207">
        <v>151016665.47</v>
      </c>
    </row>
    <row r="39" spans="2:9" ht="15.75">
      <c r="B39" s="1947" t="s">
        <v>1692</v>
      </c>
      <c r="C39" s="1947"/>
      <c r="D39" s="1947"/>
      <c r="E39" s="1947"/>
      <c r="F39" s="1947"/>
      <c r="G39" s="1947"/>
      <c r="H39" s="1947"/>
      <c r="I39" s="1947"/>
    </row>
    <row r="40" spans="2:9" ht="15.75">
      <c r="B40" s="1947" t="s">
        <v>1706</v>
      </c>
      <c r="C40" s="1947"/>
      <c r="D40" s="1947"/>
      <c r="E40" s="1947"/>
      <c r="F40" s="1947"/>
      <c r="G40" s="1947"/>
      <c r="H40" s="1947"/>
      <c r="I40" s="1947"/>
    </row>
    <row r="41" spans="2:9">
      <c r="B41" s="1946" t="s">
        <v>4794</v>
      </c>
      <c r="C41" s="1946"/>
      <c r="D41" s="1946"/>
      <c r="E41" s="1946"/>
      <c r="F41" s="1946"/>
      <c r="G41" s="1946"/>
      <c r="H41" s="1946"/>
      <c r="I41" s="1946"/>
    </row>
    <row r="42" spans="2:9">
      <c r="B42" s="1205" t="s">
        <v>1694</v>
      </c>
      <c r="C42" s="1205"/>
      <c r="D42" s="1205"/>
      <c r="E42" s="1205" t="s">
        <v>1695</v>
      </c>
      <c r="F42" s="1205"/>
      <c r="G42" s="1205" t="s">
        <v>1696</v>
      </c>
      <c r="H42" s="1205"/>
      <c r="I42" s="1205"/>
    </row>
    <row r="43" spans="2:9" ht="19.5">
      <c r="B43" s="1206" t="s">
        <v>1697</v>
      </c>
      <c r="C43" s="1206" t="s">
        <v>1698</v>
      </c>
      <c r="D43" s="1206" t="s">
        <v>1699</v>
      </c>
      <c r="E43" s="1206" t="s">
        <v>1700</v>
      </c>
      <c r="F43" s="1206" t="s">
        <v>1701</v>
      </c>
      <c r="G43" s="1206" t="s">
        <v>1697</v>
      </c>
      <c r="H43" s="1206" t="s">
        <v>1698</v>
      </c>
      <c r="I43" s="1206" t="s">
        <v>1699</v>
      </c>
    </row>
    <row r="44" spans="2:9">
      <c r="B44" s="1207">
        <v>230717331.06</v>
      </c>
      <c r="C44" s="1207">
        <v>79700665.590000004</v>
      </c>
      <c r="D44" s="1207">
        <f>I36</f>
        <v>151016665.47</v>
      </c>
      <c r="E44" s="1207">
        <v>6245956.0300000003</v>
      </c>
      <c r="F44" s="1207">
        <v>11763044.949999999</v>
      </c>
      <c r="G44" s="1207">
        <v>236963287.09</v>
      </c>
      <c r="H44" s="1207">
        <v>91463710.540000007</v>
      </c>
      <c r="I44" s="1207">
        <v>145499576.55000001</v>
      </c>
    </row>
    <row r="46" spans="2:9">
      <c r="D46" s="242"/>
    </row>
    <row r="47" spans="2:9" ht="15.75">
      <c r="B47" s="1947" t="s">
        <v>1692</v>
      </c>
      <c r="C47" s="1947"/>
      <c r="D47" s="1947"/>
      <c r="E47" s="1947"/>
      <c r="F47" s="1947"/>
      <c r="G47" s="1947"/>
      <c r="H47" s="1947"/>
      <c r="I47" s="1947"/>
    </row>
    <row r="48" spans="2:9" ht="15.75">
      <c r="B48" s="1947" t="s">
        <v>1707</v>
      </c>
      <c r="C48" s="1947"/>
      <c r="D48" s="1947"/>
      <c r="E48" s="1947"/>
      <c r="F48" s="1947"/>
      <c r="G48" s="1947"/>
      <c r="H48" s="1947"/>
      <c r="I48" s="1947"/>
    </row>
    <row r="49" spans="2:9">
      <c r="B49" s="1946" t="s">
        <v>4794</v>
      </c>
      <c r="C49" s="1946"/>
      <c r="D49" s="1946"/>
      <c r="E49" s="1946"/>
      <c r="F49" s="1946"/>
      <c r="G49" s="1946"/>
      <c r="H49" s="1946"/>
      <c r="I49" s="1946"/>
    </row>
    <row r="50" spans="2:9">
      <c r="B50" s="1205" t="s">
        <v>1694</v>
      </c>
      <c r="C50" s="1205"/>
      <c r="D50" s="1205"/>
      <c r="E50" s="1205" t="s">
        <v>1695</v>
      </c>
      <c r="F50" s="1205"/>
      <c r="G50" s="1205" t="s">
        <v>1696</v>
      </c>
      <c r="H50" s="1205"/>
      <c r="I50" s="1205"/>
    </row>
    <row r="51" spans="2:9" ht="19.5">
      <c r="B51" s="1206" t="s">
        <v>1697</v>
      </c>
      <c r="C51" s="1206" t="s">
        <v>1698</v>
      </c>
      <c r="D51" s="1206" t="s">
        <v>1699</v>
      </c>
      <c r="E51" s="1206" t="s">
        <v>1700</v>
      </c>
      <c r="F51" s="1206" t="s">
        <v>1701</v>
      </c>
      <c r="G51" s="1206" t="s">
        <v>1697</v>
      </c>
      <c r="H51" s="1206" t="s">
        <v>1698</v>
      </c>
      <c r="I51" s="1206" t="s">
        <v>1699</v>
      </c>
    </row>
    <row r="52" spans="2:9">
      <c r="B52" s="1207">
        <v>236963287.09</v>
      </c>
      <c r="C52" s="1207">
        <v>91463710.540000007</v>
      </c>
      <c r="D52" s="1207">
        <v>145499576.55000001</v>
      </c>
      <c r="E52" s="1207">
        <v>8605069.8399999999</v>
      </c>
      <c r="F52" s="1207">
        <v>12654724.859999999</v>
      </c>
      <c r="G52" s="1207">
        <v>245568356.93000001</v>
      </c>
      <c r="H52" s="1207">
        <v>104118435.40000001</v>
      </c>
      <c r="I52" s="1207">
        <v>141449921.53</v>
      </c>
    </row>
    <row r="55" spans="2:9" ht="15.75">
      <c r="B55" s="1947" t="s">
        <v>1692</v>
      </c>
      <c r="C55" s="1947"/>
      <c r="D55" s="1947"/>
      <c r="E55" s="1947"/>
      <c r="F55" s="1947"/>
      <c r="G55" s="1947"/>
      <c r="H55" s="1947"/>
      <c r="I55" s="1947"/>
    </row>
    <row r="56" spans="2:9" ht="15.75">
      <c r="B56" s="1947" t="s">
        <v>1708</v>
      </c>
      <c r="C56" s="1947"/>
      <c r="D56" s="1947"/>
      <c r="E56" s="1947"/>
      <c r="F56" s="1947"/>
      <c r="G56" s="1947"/>
      <c r="H56" s="1947"/>
      <c r="I56" s="1947"/>
    </row>
    <row r="57" spans="2:9">
      <c r="B57" s="1946" t="s">
        <v>4794</v>
      </c>
      <c r="C57" s="1946"/>
      <c r="D57" s="1946"/>
      <c r="E57" s="1946"/>
      <c r="F57" s="1946"/>
      <c r="G57" s="1946"/>
      <c r="H57" s="1946"/>
      <c r="I57" s="1946"/>
    </row>
    <row r="58" spans="2:9">
      <c r="B58" s="1205" t="s">
        <v>1694</v>
      </c>
      <c r="C58" s="1205"/>
      <c r="D58" s="1205"/>
      <c r="E58" s="1205" t="s">
        <v>1695</v>
      </c>
      <c r="F58" s="1205"/>
      <c r="G58" s="1205" t="s">
        <v>1696</v>
      </c>
      <c r="H58" s="1205"/>
      <c r="I58" s="1205"/>
    </row>
    <row r="59" spans="2:9" ht="19.5">
      <c r="B59" s="1206" t="s">
        <v>1697</v>
      </c>
      <c r="C59" s="1206" t="s">
        <v>1698</v>
      </c>
      <c r="D59" s="1206" t="s">
        <v>1699</v>
      </c>
      <c r="E59" s="1206" t="s">
        <v>1700</v>
      </c>
      <c r="F59" s="1206" t="s">
        <v>1701</v>
      </c>
      <c r="G59" s="1206" t="s">
        <v>1697</v>
      </c>
      <c r="H59" s="1206" t="s">
        <v>1698</v>
      </c>
      <c r="I59" s="1206" t="s">
        <v>1699</v>
      </c>
    </row>
    <row r="60" spans="2:9">
      <c r="B60" s="1207">
        <v>245568356.93000001</v>
      </c>
      <c r="C60" s="1207">
        <v>104118435.40000001</v>
      </c>
      <c r="D60" s="1207">
        <v>141449921.53</v>
      </c>
      <c r="E60" s="1207">
        <v>23738023.739999998</v>
      </c>
      <c r="F60" s="1207">
        <v>12071713.74</v>
      </c>
      <c r="G60" s="1207">
        <v>269306380.67000002</v>
      </c>
      <c r="H60" s="1207">
        <v>116190149.14</v>
      </c>
      <c r="I60" s="1207">
        <v>153116231.53</v>
      </c>
    </row>
    <row r="63" spans="2:9" ht="15.75">
      <c r="B63" s="1947" t="s">
        <v>1692</v>
      </c>
      <c r="C63" s="1947"/>
      <c r="D63" s="1947"/>
      <c r="E63" s="1947"/>
      <c r="F63" s="1947"/>
      <c r="G63" s="1947"/>
      <c r="H63" s="1947"/>
      <c r="I63" s="1947"/>
    </row>
    <row r="64" spans="2:9" ht="15.75">
      <c r="B64" s="1947" t="s">
        <v>5071</v>
      </c>
      <c r="C64" s="1947"/>
      <c r="D64" s="1947"/>
      <c r="E64" s="1947"/>
      <c r="F64" s="1947"/>
      <c r="G64" s="1947"/>
      <c r="H64" s="1947"/>
      <c r="I64" s="1947"/>
    </row>
    <row r="65" spans="2:9">
      <c r="B65" s="1946" t="s">
        <v>4794</v>
      </c>
      <c r="C65" s="1946"/>
      <c r="D65" s="1946"/>
      <c r="E65" s="1946"/>
      <c r="F65" s="1946"/>
      <c r="G65" s="1946"/>
      <c r="H65" s="1946"/>
      <c r="I65" s="1946"/>
    </row>
    <row r="66" spans="2:9">
      <c r="B66" s="1205" t="s">
        <v>1694</v>
      </c>
      <c r="C66" s="1205"/>
      <c r="D66" s="1205"/>
      <c r="E66" s="1205" t="s">
        <v>1695</v>
      </c>
      <c r="F66" s="1205"/>
      <c r="G66" s="1205" t="s">
        <v>1696</v>
      </c>
      <c r="H66" s="1205"/>
      <c r="I66" s="1205"/>
    </row>
    <row r="67" spans="2:9" ht="19.5">
      <c r="B67" s="1206" t="s">
        <v>1697</v>
      </c>
      <c r="C67" s="1206" t="s">
        <v>1698</v>
      </c>
      <c r="D67" s="1206" t="s">
        <v>1699</v>
      </c>
      <c r="E67" s="1206" t="s">
        <v>1700</v>
      </c>
      <c r="F67" s="1206" t="s">
        <v>1701</v>
      </c>
      <c r="G67" s="1206" t="s">
        <v>1697</v>
      </c>
      <c r="H67" s="1206" t="s">
        <v>1698</v>
      </c>
      <c r="I67" s="1206" t="s">
        <v>1699</v>
      </c>
    </row>
    <row r="68" spans="2:9">
      <c r="B68" s="1207">
        <v>269306380.67000002</v>
      </c>
      <c r="C68" s="1207">
        <v>116190149.14</v>
      </c>
      <c r="D68" s="1207">
        <v>153116231.53000003</v>
      </c>
      <c r="E68" s="1207">
        <v>6199142.8899999997</v>
      </c>
      <c r="F68" s="1207">
        <v>11485406.539999999</v>
      </c>
      <c r="G68" s="1207">
        <v>275505523.56</v>
      </c>
      <c r="H68" s="1207">
        <v>127675555.68000001</v>
      </c>
      <c r="I68" s="1207">
        <v>147829967.88</v>
      </c>
    </row>
  </sheetData>
  <mergeCells count="25">
    <mergeCell ref="B63:I63"/>
    <mergeCell ref="B64:I64"/>
    <mergeCell ref="B65:I65"/>
    <mergeCell ref="B18:I18"/>
    <mergeCell ref="B32:I32"/>
    <mergeCell ref="B26:I26"/>
    <mergeCell ref="B19:I19"/>
    <mergeCell ref="B24:I24"/>
    <mergeCell ref="B31:I31"/>
    <mergeCell ref="B25:I25"/>
    <mergeCell ref="B17:I17"/>
    <mergeCell ref="B5:I5"/>
    <mergeCell ref="B10:I10"/>
    <mergeCell ref="B11:I11"/>
    <mergeCell ref="B12:I12"/>
    <mergeCell ref="B57:I57"/>
    <mergeCell ref="B33:I33"/>
    <mergeCell ref="B39:I39"/>
    <mergeCell ref="B40:I40"/>
    <mergeCell ref="B41:I41"/>
    <mergeCell ref="B55:I55"/>
    <mergeCell ref="B56:I56"/>
    <mergeCell ref="B47:I47"/>
    <mergeCell ref="B49:I49"/>
    <mergeCell ref="B48:I48"/>
  </mergeCells>
  <phoneticPr fontId="0" type="noConversion"/>
  <hyperlinks>
    <hyperlink ref="B1" location="Главная!A1" display="Переход на главную страницу"/>
  </hyperlinks>
  <pageMargins left="0.7" right="0.7" top="0.75" bottom="0.75" header="0.3" footer="0.3"/>
  <pageSetup paperSize="9" scale="58" orientation="portrait" r:id="rId1"/>
</worksheet>
</file>

<file path=xl/worksheets/sheet36.xml><?xml version="1.0" encoding="utf-8"?>
<worksheet xmlns="http://schemas.openxmlformats.org/spreadsheetml/2006/main" xmlns:r="http://schemas.openxmlformats.org/officeDocument/2006/relationships">
  <dimension ref="A1:X266"/>
  <sheetViews>
    <sheetView view="pageBreakPreview" topLeftCell="A238" zoomScale="85" zoomScaleNormal="90" zoomScaleSheetLayoutView="85" workbookViewId="0">
      <selection activeCell="C269" sqref="C269"/>
    </sheetView>
  </sheetViews>
  <sheetFormatPr defaultRowHeight="15"/>
  <cols>
    <col min="1" max="1" width="38.42578125" customWidth="1"/>
    <col min="2" max="2" width="14.28515625" customWidth="1"/>
    <col min="3" max="3" width="12.7109375" customWidth="1"/>
    <col min="4" max="4" width="15.7109375" customWidth="1"/>
    <col min="5" max="5" width="13.5703125" customWidth="1"/>
    <col min="6" max="6" width="12.42578125" customWidth="1"/>
    <col min="7" max="7" width="13.28515625" customWidth="1"/>
    <col min="8" max="8" width="12.85546875" customWidth="1"/>
    <col min="9" max="9" width="13.7109375" customWidth="1"/>
    <col min="11" max="11" width="26.28515625" customWidth="1"/>
    <col min="12" max="19" width="15.140625" customWidth="1"/>
    <col min="23" max="23" width="48.7109375" customWidth="1"/>
    <col min="24" max="24" width="41.28515625" customWidth="1"/>
  </cols>
  <sheetData>
    <row r="1" spans="1:19" ht="15.75">
      <c r="A1" s="79" t="s">
        <v>724</v>
      </c>
    </row>
    <row r="2" spans="1:19" ht="15.75">
      <c r="I2" s="233" t="s">
        <v>1709</v>
      </c>
    </row>
    <row r="4" spans="1:19" ht="18">
      <c r="A4" s="1209" t="s">
        <v>1459</v>
      </c>
      <c r="B4" s="1210"/>
      <c r="C4" s="1210"/>
      <c r="D4" s="1210"/>
      <c r="E4" s="1210"/>
      <c r="F4" s="1210"/>
      <c r="G4" s="1210"/>
      <c r="H4" s="1210"/>
      <c r="I4" s="1210"/>
      <c r="K4" s="1209" t="s">
        <v>1459</v>
      </c>
      <c r="L4" s="1210"/>
      <c r="M4" s="1210"/>
      <c r="N4" s="1210"/>
      <c r="O4" s="1210"/>
      <c r="P4" s="1210"/>
      <c r="Q4" s="1210"/>
      <c r="R4" s="1210"/>
      <c r="S4" s="1210"/>
    </row>
    <row r="5" spans="1:19" ht="15.75">
      <c r="A5" s="1193" t="s">
        <v>1710</v>
      </c>
      <c r="B5" s="1194"/>
      <c r="C5" s="1194"/>
      <c r="D5" s="1194"/>
      <c r="E5" s="1194"/>
      <c r="F5" s="1194"/>
      <c r="G5" s="1194"/>
      <c r="H5" s="1194"/>
      <c r="I5" s="1194"/>
      <c r="K5" s="1193" t="s">
        <v>1711</v>
      </c>
      <c r="L5" s="1194"/>
      <c r="M5" s="1194"/>
      <c r="N5" s="1194"/>
      <c r="O5" s="1194"/>
      <c r="P5" s="1194"/>
      <c r="Q5" s="1194"/>
      <c r="R5" s="1194"/>
      <c r="S5" s="1194"/>
    </row>
    <row r="6" spans="1:19" ht="15.75">
      <c r="A6" s="1193" t="s">
        <v>1712</v>
      </c>
      <c r="B6" s="1194"/>
      <c r="C6" s="1194"/>
      <c r="D6" s="1194"/>
      <c r="E6" s="1194"/>
      <c r="F6" s="1194"/>
      <c r="G6" s="1194"/>
      <c r="H6" s="1194"/>
      <c r="I6" s="1194"/>
      <c r="K6" s="1193" t="s">
        <v>1712</v>
      </c>
      <c r="L6" s="1194"/>
      <c r="M6" s="1194"/>
      <c r="N6" s="1194"/>
      <c r="O6" s="1194"/>
      <c r="P6" s="1194"/>
      <c r="Q6" s="1194"/>
      <c r="R6" s="1194"/>
      <c r="S6" s="1194"/>
    </row>
    <row r="7" spans="1:19" ht="15.75" thickBot="1">
      <c r="A7" s="1946" t="s">
        <v>4794</v>
      </c>
      <c r="B7" s="1946"/>
      <c r="C7" s="1946"/>
      <c r="D7" s="1946"/>
      <c r="E7" s="1946"/>
      <c r="F7" s="1946"/>
      <c r="G7" s="1946"/>
      <c r="H7" s="1946"/>
      <c r="I7" s="1946"/>
      <c r="K7" s="1946" t="s">
        <v>4794</v>
      </c>
      <c r="L7" s="1946"/>
      <c r="M7" s="1946"/>
      <c r="N7" s="1946"/>
      <c r="O7" s="1946"/>
      <c r="P7" s="1946"/>
      <c r="Q7" s="1946"/>
      <c r="R7" s="1946"/>
      <c r="S7" s="1946"/>
    </row>
    <row r="8" spans="1:19" ht="15.75" thickTop="1">
      <c r="A8" s="1211" t="s">
        <v>1713</v>
      </c>
      <c r="B8" s="1195" t="s">
        <v>1694</v>
      </c>
      <c r="C8" s="1196"/>
      <c r="D8" s="1196"/>
      <c r="E8" s="1195" t="s">
        <v>1695</v>
      </c>
      <c r="F8" s="1196"/>
      <c r="G8" s="1195" t="s">
        <v>1696</v>
      </c>
      <c r="H8" s="1196"/>
      <c r="I8" s="1197"/>
      <c r="K8" s="1211" t="s">
        <v>1713</v>
      </c>
      <c r="L8" s="1195" t="s">
        <v>1694</v>
      </c>
      <c r="M8" s="1196"/>
      <c r="N8" s="1196"/>
      <c r="O8" s="1195" t="s">
        <v>1695</v>
      </c>
      <c r="P8" s="1196"/>
      <c r="Q8" s="1195" t="s">
        <v>1696</v>
      </c>
      <c r="R8" s="1196"/>
      <c r="S8" s="1197"/>
    </row>
    <row r="9" spans="1:19" ht="29.25">
      <c r="A9" s="1198" t="s">
        <v>1714</v>
      </c>
      <c r="B9" s="1198" t="s">
        <v>1697</v>
      </c>
      <c r="C9" s="1199" t="s">
        <v>1698</v>
      </c>
      <c r="D9" s="1199" t="s">
        <v>1699</v>
      </c>
      <c r="E9" s="1198" t="s">
        <v>1700</v>
      </c>
      <c r="F9" s="1199" t="s">
        <v>1701</v>
      </c>
      <c r="G9" s="1198" t="s">
        <v>1697</v>
      </c>
      <c r="H9" s="1199" t="s">
        <v>1698</v>
      </c>
      <c r="I9" s="1200" t="s">
        <v>1699</v>
      </c>
      <c r="K9" s="1198" t="s">
        <v>1714</v>
      </c>
      <c r="L9" s="1198" t="s">
        <v>1697</v>
      </c>
      <c r="M9" s="1199" t="s">
        <v>1698</v>
      </c>
      <c r="N9" s="1199" t="s">
        <v>1699</v>
      </c>
      <c r="O9" s="1198" t="s">
        <v>1700</v>
      </c>
      <c r="P9" s="1199" t="s">
        <v>1701</v>
      </c>
      <c r="Q9" s="1198" t="s">
        <v>1697</v>
      </c>
      <c r="R9" s="1199" t="s">
        <v>1698</v>
      </c>
      <c r="S9" s="1200" t="s">
        <v>1699</v>
      </c>
    </row>
    <row r="10" spans="1:19" ht="27.75" customHeight="1">
      <c r="A10" s="1212" t="s">
        <v>1715</v>
      </c>
      <c r="B10" s="1213">
        <v>0</v>
      </c>
      <c r="C10" s="1214">
        <v>0</v>
      </c>
      <c r="D10" s="1215">
        <v>0</v>
      </c>
      <c r="E10" s="1216">
        <v>207188</v>
      </c>
      <c r="F10" s="1217">
        <v>12187.55</v>
      </c>
      <c r="G10" s="1216">
        <v>207188</v>
      </c>
      <c r="H10" s="1218">
        <v>12187.55</v>
      </c>
      <c r="I10" s="1219">
        <v>195000.45</v>
      </c>
      <c r="K10" s="1212" t="s">
        <v>1716</v>
      </c>
      <c r="L10" s="1216">
        <v>50084</v>
      </c>
      <c r="M10" s="1218">
        <v>50084</v>
      </c>
      <c r="N10" s="1215">
        <v>0</v>
      </c>
      <c r="O10" s="1216">
        <v>-50084</v>
      </c>
      <c r="P10" s="1217">
        <v>-50084</v>
      </c>
      <c r="Q10" s="1213">
        <v>0</v>
      </c>
      <c r="R10" s="1214">
        <v>0</v>
      </c>
      <c r="S10" s="1215">
        <v>0</v>
      </c>
    </row>
    <row r="11" spans="1:19" ht="27.75" customHeight="1">
      <c r="A11" s="1212" t="s">
        <v>1717</v>
      </c>
      <c r="B11" s="1213">
        <v>0</v>
      </c>
      <c r="C11" s="1214">
        <v>0</v>
      </c>
      <c r="D11" s="1215">
        <v>0</v>
      </c>
      <c r="E11" s="1216">
        <v>187661.01</v>
      </c>
      <c r="F11" s="1217">
        <v>20740.09</v>
      </c>
      <c r="G11" s="1216">
        <v>187661.01</v>
      </c>
      <c r="H11" s="1218">
        <v>20740.09</v>
      </c>
      <c r="I11" s="1219">
        <v>166920.92000000001</v>
      </c>
      <c r="K11" s="1212" t="s">
        <v>1718</v>
      </c>
      <c r="L11" s="1216">
        <v>824213</v>
      </c>
      <c r="M11" s="1218">
        <v>457896</v>
      </c>
      <c r="N11" s="1219">
        <v>366317</v>
      </c>
      <c r="O11" s="1216">
        <v>-824213</v>
      </c>
      <c r="P11" s="1217">
        <v>-457896</v>
      </c>
      <c r="Q11" s="1213">
        <v>0</v>
      </c>
      <c r="R11" s="1214">
        <v>0</v>
      </c>
      <c r="S11" s="1215">
        <v>0</v>
      </c>
    </row>
    <row r="12" spans="1:19" ht="27.75" customHeight="1">
      <c r="A12" s="1212" t="s">
        <v>1719</v>
      </c>
      <c r="B12" s="1213">
        <v>0</v>
      </c>
      <c r="C12" s="1214">
        <v>0</v>
      </c>
      <c r="D12" s="1215">
        <v>0</v>
      </c>
      <c r="E12" s="1216">
        <v>1532713.59</v>
      </c>
      <c r="F12" s="1217">
        <v>25545.23</v>
      </c>
      <c r="G12" s="1216">
        <v>1532713.59</v>
      </c>
      <c r="H12" s="1218">
        <v>25545.23</v>
      </c>
      <c r="I12" s="1219">
        <v>1507168.36</v>
      </c>
      <c r="K12" s="1212" t="s">
        <v>1720</v>
      </c>
      <c r="L12" s="1216">
        <v>31901.14</v>
      </c>
      <c r="M12" s="1218">
        <v>31901.14</v>
      </c>
      <c r="N12" s="1215">
        <v>0</v>
      </c>
      <c r="O12" s="1216">
        <v>-31901.14</v>
      </c>
      <c r="P12" s="1217">
        <v>-31901.14</v>
      </c>
      <c r="Q12" s="1213">
        <v>0</v>
      </c>
      <c r="R12" s="1214">
        <v>0</v>
      </c>
      <c r="S12" s="1215">
        <v>0</v>
      </c>
    </row>
    <row r="13" spans="1:19" ht="27.75" customHeight="1">
      <c r="A13" s="1212" t="s">
        <v>1721</v>
      </c>
      <c r="B13" s="1216">
        <v>1970740</v>
      </c>
      <c r="C13" s="1218">
        <v>150973.20000000001</v>
      </c>
      <c r="D13" s="1219">
        <v>1819766.8</v>
      </c>
      <c r="E13" s="1216">
        <v>399947</v>
      </c>
      <c r="F13" s="1217">
        <v>35345</v>
      </c>
      <c r="G13" s="1216">
        <v>2370687</v>
      </c>
      <c r="H13" s="1218">
        <v>186318.2</v>
      </c>
      <c r="I13" s="1219">
        <v>2184368.7999999998</v>
      </c>
      <c r="K13" s="1212" t="s">
        <v>1722</v>
      </c>
      <c r="L13" s="1216">
        <v>31901.14</v>
      </c>
      <c r="M13" s="1218">
        <v>31901.14</v>
      </c>
      <c r="N13" s="1215">
        <v>0</v>
      </c>
      <c r="O13" s="1216">
        <v>-31901.14</v>
      </c>
      <c r="P13" s="1217">
        <v>-31901.14</v>
      </c>
      <c r="Q13" s="1213">
        <v>0</v>
      </c>
      <c r="R13" s="1214">
        <v>0</v>
      </c>
      <c r="S13" s="1215">
        <v>0</v>
      </c>
    </row>
    <row r="14" spans="1:19" ht="27.75" customHeight="1">
      <c r="A14" s="1212" t="s">
        <v>1723</v>
      </c>
      <c r="B14" s="1213">
        <v>0</v>
      </c>
      <c r="C14" s="1214">
        <v>0</v>
      </c>
      <c r="D14" s="1215">
        <v>0</v>
      </c>
      <c r="E14" s="1216">
        <v>27762.71</v>
      </c>
      <c r="F14" s="1220">
        <v>0</v>
      </c>
      <c r="G14" s="1216">
        <v>27762.71</v>
      </c>
      <c r="H14" s="1214">
        <v>0</v>
      </c>
      <c r="I14" s="1219">
        <v>27762.71</v>
      </c>
      <c r="K14" s="1212" t="s">
        <v>1724</v>
      </c>
      <c r="L14" s="1216">
        <v>446838</v>
      </c>
      <c r="M14" s="1218">
        <v>446838</v>
      </c>
      <c r="N14" s="1215">
        <v>0</v>
      </c>
      <c r="O14" s="1216">
        <v>-446838</v>
      </c>
      <c r="P14" s="1217">
        <v>-446838</v>
      </c>
      <c r="Q14" s="1213">
        <v>0</v>
      </c>
      <c r="R14" s="1214">
        <v>0</v>
      </c>
      <c r="S14" s="1215">
        <v>0</v>
      </c>
    </row>
    <row r="15" spans="1:19" ht="27.75" customHeight="1">
      <c r="A15" s="1212" t="s">
        <v>1725</v>
      </c>
      <c r="B15" s="1213">
        <v>0</v>
      </c>
      <c r="C15" s="1214">
        <v>0</v>
      </c>
      <c r="D15" s="1215">
        <v>0</v>
      </c>
      <c r="E15" s="1216">
        <v>61250</v>
      </c>
      <c r="F15" s="1217">
        <v>6380.2</v>
      </c>
      <c r="G15" s="1216">
        <v>61250</v>
      </c>
      <c r="H15" s="1218">
        <v>6380.2</v>
      </c>
      <c r="I15" s="1219">
        <v>54869.8</v>
      </c>
      <c r="K15" s="1212" t="s">
        <v>1726</v>
      </c>
      <c r="L15" s="1213">
        <v>603.39</v>
      </c>
      <c r="M15" s="1214">
        <v>0</v>
      </c>
      <c r="N15" s="1215">
        <v>603.39</v>
      </c>
      <c r="O15" s="1213">
        <v>-603.39</v>
      </c>
      <c r="P15" s="1220">
        <v>0</v>
      </c>
      <c r="Q15" s="1213">
        <v>0</v>
      </c>
      <c r="R15" s="1214">
        <v>0</v>
      </c>
      <c r="S15" s="1215">
        <v>0</v>
      </c>
    </row>
    <row r="16" spans="1:19" ht="27.75" customHeight="1">
      <c r="A16" s="1212" t="s">
        <v>1727</v>
      </c>
      <c r="B16" s="1213">
        <v>0</v>
      </c>
      <c r="C16" s="1214">
        <v>0</v>
      </c>
      <c r="D16" s="1215">
        <v>0</v>
      </c>
      <c r="E16" s="1216">
        <v>423665.78</v>
      </c>
      <c r="F16" s="1220">
        <v>0</v>
      </c>
      <c r="G16" s="1216">
        <v>423665.78</v>
      </c>
      <c r="H16" s="1214">
        <v>0</v>
      </c>
      <c r="I16" s="1219">
        <v>423665.78</v>
      </c>
      <c r="K16" s="1212" t="s">
        <v>1728</v>
      </c>
      <c r="L16" s="1216">
        <v>60640</v>
      </c>
      <c r="M16" s="1218">
        <v>27563.4</v>
      </c>
      <c r="N16" s="1219">
        <v>33076.6</v>
      </c>
      <c r="O16" s="1216">
        <v>-60640</v>
      </c>
      <c r="P16" s="1217">
        <v>-27563.4</v>
      </c>
      <c r="Q16" s="1213">
        <v>0</v>
      </c>
      <c r="R16" s="1214">
        <v>0</v>
      </c>
      <c r="S16" s="1215">
        <v>0</v>
      </c>
    </row>
    <row r="17" spans="1:19" ht="27.75" customHeight="1">
      <c r="A17" s="1212" t="s">
        <v>1729</v>
      </c>
      <c r="B17" s="1216">
        <v>13173.29</v>
      </c>
      <c r="C17" s="1214">
        <v>0</v>
      </c>
      <c r="D17" s="1219">
        <v>13173.29</v>
      </c>
      <c r="E17" s="1216">
        <v>20608</v>
      </c>
      <c r="F17" s="1220">
        <v>0</v>
      </c>
      <c r="G17" s="1216">
        <v>33781.29</v>
      </c>
      <c r="H17" s="1214">
        <v>0</v>
      </c>
      <c r="I17" s="1219">
        <v>33781.29</v>
      </c>
      <c r="K17" s="1212" t="s">
        <v>1730</v>
      </c>
      <c r="L17" s="1216">
        <v>15988</v>
      </c>
      <c r="M17" s="1218">
        <v>9889.2000000000007</v>
      </c>
      <c r="N17" s="1219">
        <v>6098.8</v>
      </c>
      <c r="O17" s="1216">
        <v>-15988</v>
      </c>
      <c r="P17" s="1217">
        <v>-9889.2000000000007</v>
      </c>
      <c r="Q17" s="1213">
        <v>0</v>
      </c>
      <c r="R17" s="1214">
        <v>0</v>
      </c>
      <c r="S17" s="1215">
        <v>0</v>
      </c>
    </row>
    <row r="18" spans="1:19" ht="27.75" customHeight="1">
      <c r="A18" s="1212" t="s">
        <v>1731</v>
      </c>
      <c r="B18" s="1213">
        <v>0</v>
      </c>
      <c r="C18" s="1214">
        <v>0</v>
      </c>
      <c r="D18" s="1215">
        <v>0</v>
      </c>
      <c r="E18" s="1216">
        <v>905298</v>
      </c>
      <c r="F18" s="1220">
        <v>0</v>
      </c>
      <c r="G18" s="1216">
        <v>905298</v>
      </c>
      <c r="H18" s="1214">
        <v>0</v>
      </c>
      <c r="I18" s="1219">
        <v>905298</v>
      </c>
      <c r="K18" s="1212" t="s">
        <v>1732</v>
      </c>
      <c r="L18" s="1216">
        <v>5000</v>
      </c>
      <c r="M18" s="1214">
        <v>0</v>
      </c>
      <c r="N18" s="1219">
        <v>5000</v>
      </c>
      <c r="O18" s="1216">
        <v>-5000</v>
      </c>
      <c r="P18" s="1220">
        <v>0</v>
      </c>
      <c r="Q18" s="1213">
        <v>0</v>
      </c>
      <c r="R18" s="1214">
        <v>0</v>
      </c>
      <c r="S18" s="1215">
        <v>0</v>
      </c>
    </row>
    <row r="19" spans="1:19" ht="27.75" customHeight="1">
      <c r="A19" s="1212" t="s">
        <v>1733</v>
      </c>
      <c r="B19" s="1213">
        <v>0</v>
      </c>
      <c r="C19" s="1214">
        <v>0</v>
      </c>
      <c r="D19" s="1215">
        <v>0</v>
      </c>
      <c r="E19" s="1216">
        <v>5493991.5199999996</v>
      </c>
      <c r="F19" s="1220">
        <v>0</v>
      </c>
      <c r="G19" s="1216">
        <v>5493991.5199999996</v>
      </c>
      <c r="H19" s="1214">
        <v>0</v>
      </c>
      <c r="I19" s="1219">
        <v>5493991.5199999996</v>
      </c>
      <c r="K19" s="1212" t="s">
        <v>1734</v>
      </c>
      <c r="L19" s="1216">
        <v>5000</v>
      </c>
      <c r="M19" s="1214">
        <v>0</v>
      </c>
      <c r="N19" s="1219">
        <v>5000</v>
      </c>
      <c r="O19" s="1216">
        <v>-5000</v>
      </c>
      <c r="P19" s="1220">
        <v>0</v>
      </c>
      <c r="Q19" s="1213">
        <v>0</v>
      </c>
      <c r="R19" s="1214">
        <v>0</v>
      </c>
      <c r="S19" s="1215">
        <v>0</v>
      </c>
    </row>
    <row r="20" spans="1:19" ht="27.75" customHeight="1">
      <c r="A20" s="1212" t="s">
        <v>1735</v>
      </c>
      <c r="B20" s="1213">
        <v>0</v>
      </c>
      <c r="C20" s="1214">
        <v>0</v>
      </c>
      <c r="D20" s="1215">
        <v>0</v>
      </c>
      <c r="E20" s="1216">
        <v>29029.84</v>
      </c>
      <c r="F20" s="1220">
        <v>951.8</v>
      </c>
      <c r="G20" s="1216">
        <v>29029.84</v>
      </c>
      <c r="H20" s="1214">
        <v>951.8</v>
      </c>
      <c r="I20" s="1219">
        <v>28078.04</v>
      </c>
      <c r="K20" s="1212" t="s">
        <v>1736</v>
      </c>
      <c r="L20" s="1216">
        <v>25196.98</v>
      </c>
      <c r="M20" s="1218">
        <v>17034.72</v>
      </c>
      <c r="N20" s="1219">
        <v>8162.26</v>
      </c>
      <c r="O20" s="1216">
        <v>-25196.98</v>
      </c>
      <c r="P20" s="1217">
        <v>-17034.72</v>
      </c>
      <c r="Q20" s="1213">
        <v>0</v>
      </c>
      <c r="R20" s="1214">
        <v>0</v>
      </c>
      <c r="S20" s="1215">
        <v>0</v>
      </c>
    </row>
    <row r="21" spans="1:19" ht="27.75" customHeight="1">
      <c r="A21" s="1212" t="s">
        <v>1737</v>
      </c>
      <c r="B21" s="1213">
        <v>0</v>
      </c>
      <c r="C21" s="1214">
        <v>0</v>
      </c>
      <c r="D21" s="1215">
        <v>0</v>
      </c>
      <c r="E21" s="1216">
        <v>28000</v>
      </c>
      <c r="F21" s="1217">
        <v>2800.02</v>
      </c>
      <c r="G21" s="1216">
        <v>28000</v>
      </c>
      <c r="H21" s="1218">
        <v>2800.02</v>
      </c>
      <c r="I21" s="1219">
        <v>25199.98</v>
      </c>
      <c r="K21" s="1212" t="s">
        <v>1738</v>
      </c>
      <c r="L21" s="1216">
        <v>27527.86</v>
      </c>
      <c r="M21" s="1218">
        <v>27527.86</v>
      </c>
      <c r="N21" s="1215">
        <v>0</v>
      </c>
      <c r="O21" s="1216">
        <v>-27527.86</v>
      </c>
      <c r="P21" s="1217">
        <v>-27527.86</v>
      </c>
      <c r="Q21" s="1213">
        <v>0</v>
      </c>
      <c r="R21" s="1214">
        <v>0</v>
      </c>
      <c r="S21" s="1215">
        <v>0</v>
      </c>
    </row>
    <row r="22" spans="1:19" ht="27.75" customHeight="1">
      <c r="A22" s="1212" t="s">
        <v>1739</v>
      </c>
      <c r="B22" s="1213">
        <v>0</v>
      </c>
      <c r="C22" s="1214">
        <v>0</v>
      </c>
      <c r="D22" s="1215">
        <v>0</v>
      </c>
      <c r="E22" s="1216">
        <v>21661.02</v>
      </c>
      <c r="F22" s="1217">
        <v>2927.15</v>
      </c>
      <c r="G22" s="1216">
        <v>21661.02</v>
      </c>
      <c r="H22" s="1218">
        <v>2927.15</v>
      </c>
      <c r="I22" s="1219">
        <v>18733.87</v>
      </c>
      <c r="K22" s="1212" t="s">
        <v>1740</v>
      </c>
      <c r="L22" s="1216">
        <v>27518.42</v>
      </c>
      <c r="M22" s="1218">
        <v>27518.42</v>
      </c>
      <c r="N22" s="1215">
        <v>0</v>
      </c>
      <c r="O22" s="1216">
        <v>-27518.42</v>
      </c>
      <c r="P22" s="1217">
        <v>-27518.42</v>
      </c>
      <c r="Q22" s="1213">
        <v>0</v>
      </c>
      <c r="R22" s="1214">
        <v>0</v>
      </c>
      <c r="S22" s="1215">
        <v>0</v>
      </c>
    </row>
    <row r="23" spans="1:19" ht="27.75" customHeight="1">
      <c r="A23" s="1212" t="s">
        <v>1741</v>
      </c>
      <c r="B23" s="1213">
        <v>0</v>
      </c>
      <c r="C23" s="1214">
        <v>0</v>
      </c>
      <c r="D23" s="1215">
        <v>0</v>
      </c>
      <c r="E23" s="1216">
        <v>41542.370000000003</v>
      </c>
      <c r="F23" s="1217">
        <v>17309.3</v>
      </c>
      <c r="G23" s="1216">
        <v>41542.370000000003</v>
      </c>
      <c r="H23" s="1218">
        <v>17309.3</v>
      </c>
      <c r="I23" s="1219">
        <v>24233.07</v>
      </c>
      <c r="K23" s="1212" t="s">
        <v>1742</v>
      </c>
      <c r="L23" s="1216">
        <v>34321.5</v>
      </c>
      <c r="M23" s="1218">
        <v>15444.81</v>
      </c>
      <c r="N23" s="1219">
        <v>18876.689999999999</v>
      </c>
      <c r="O23" s="1216">
        <v>-34321.5</v>
      </c>
      <c r="P23" s="1217">
        <v>-15444.81</v>
      </c>
      <c r="Q23" s="1213">
        <v>0</v>
      </c>
      <c r="R23" s="1214">
        <v>0</v>
      </c>
      <c r="S23" s="1215">
        <v>0</v>
      </c>
    </row>
    <row r="24" spans="1:19" ht="27.75" customHeight="1">
      <c r="A24" s="1212" t="s">
        <v>1743</v>
      </c>
      <c r="B24" s="1213">
        <v>0</v>
      </c>
      <c r="C24" s="1214">
        <v>0</v>
      </c>
      <c r="D24" s="1215">
        <v>0</v>
      </c>
      <c r="E24" s="1216">
        <v>70412.460000000006</v>
      </c>
      <c r="F24" s="1217">
        <v>11735.4</v>
      </c>
      <c r="G24" s="1216">
        <v>70412.460000000006</v>
      </c>
      <c r="H24" s="1218">
        <v>11735.4</v>
      </c>
      <c r="I24" s="1219">
        <v>58677.06</v>
      </c>
      <c r="K24" s="1212" t="s">
        <v>1744</v>
      </c>
      <c r="L24" s="1216">
        <v>15772</v>
      </c>
      <c r="M24" s="1218">
        <v>15772</v>
      </c>
      <c r="N24" s="1215">
        <v>0</v>
      </c>
      <c r="O24" s="1216">
        <v>-15772</v>
      </c>
      <c r="P24" s="1217">
        <v>-15772</v>
      </c>
      <c r="Q24" s="1213">
        <v>0</v>
      </c>
      <c r="R24" s="1214">
        <v>0</v>
      </c>
      <c r="S24" s="1215">
        <v>0</v>
      </c>
    </row>
    <row r="25" spans="1:19" ht="27.75" customHeight="1">
      <c r="A25" s="1212" t="s">
        <v>1745</v>
      </c>
      <c r="B25" s="1213">
        <v>0</v>
      </c>
      <c r="C25" s="1214">
        <v>0</v>
      </c>
      <c r="D25" s="1215">
        <v>0</v>
      </c>
      <c r="E25" s="1216">
        <v>28008.48</v>
      </c>
      <c r="F25" s="1217">
        <v>1556.02</v>
      </c>
      <c r="G25" s="1216">
        <v>28008.48</v>
      </c>
      <c r="H25" s="1218">
        <v>1556.02</v>
      </c>
      <c r="I25" s="1219">
        <v>26452.46</v>
      </c>
      <c r="K25" s="1212" t="s">
        <v>1746</v>
      </c>
      <c r="L25" s="1216">
        <v>27290.27</v>
      </c>
      <c r="M25" s="1214">
        <v>0</v>
      </c>
      <c r="N25" s="1219">
        <v>27290.27</v>
      </c>
      <c r="O25" s="1216">
        <v>-27290.27</v>
      </c>
      <c r="P25" s="1220">
        <v>0</v>
      </c>
      <c r="Q25" s="1213">
        <v>0</v>
      </c>
      <c r="R25" s="1214">
        <v>0</v>
      </c>
      <c r="S25" s="1215">
        <v>0</v>
      </c>
    </row>
    <row r="26" spans="1:19" ht="27.75" customHeight="1">
      <c r="A26" s="1212" t="s">
        <v>1747</v>
      </c>
      <c r="B26" s="1213">
        <v>0</v>
      </c>
      <c r="C26" s="1214">
        <v>0</v>
      </c>
      <c r="D26" s="1215">
        <v>0</v>
      </c>
      <c r="E26" s="1216">
        <v>502721.35</v>
      </c>
      <c r="F26" s="1217">
        <v>53863.02</v>
      </c>
      <c r="G26" s="1216">
        <v>502721.35</v>
      </c>
      <c r="H26" s="1218">
        <v>53863.02</v>
      </c>
      <c r="I26" s="1219">
        <v>448858.33</v>
      </c>
      <c r="K26" s="1212" t="s">
        <v>1748</v>
      </c>
      <c r="L26" s="1216">
        <v>27290.26</v>
      </c>
      <c r="M26" s="1214">
        <v>0</v>
      </c>
      <c r="N26" s="1219">
        <v>27290.26</v>
      </c>
      <c r="O26" s="1216">
        <v>-27290.26</v>
      </c>
      <c r="P26" s="1220">
        <v>0</v>
      </c>
      <c r="Q26" s="1213">
        <v>0</v>
      </c>
      <c r="R26" s="1214">
        <v>0</v>
      </c>
      <c r="S26" s="1215">
        <v>0</v>
      </c>
    </row>
    <row r="27" spans="1:19" ht="27.75" customHeight="1">
      <c r="A27" s="1212" t="s">
        <v>1749</v>
      </c>
      <c r="B27" s="1213">
        <v>0</v>
      </c>
      <c r="C27" s="1214">
        <v>0</v>
      </c>
      <c r="D27" s="1215">
        <v>0</v>
      </c>
      <c r="E27" s="1216">
        <v>296573.03999999998</v>
      </c>
      <c r="F27" s="1217">
        <v>31775.67</v>
      </c>
      <c r="G27" s="1216">
        <v>296573.03999999998</v>
      </c>
      <c r="H27" s="1218">
        <v>31775.67</v>
      </c>
      <c r="I27" s="1219">
        <v>264797.37</v>
      </c>
    </row>
    <row r="28" spans="1:19" ht="27.75" customHeight="1">
      <c r="A28" s="1212" t="s">
        <v>1750</v>
      </c>
      <c r="B28" s="1213">
        <v>0</v>
      </c>
      <c r="C28" s="1214">
        <v>0</v>
      </c>
      <c r="D28" s="1215">
        <v>0</v>
      </c>
      <c r="E28" s="1216">
        <v>566874.88</v>
      </c>
      <c r="F28" s="1217">
        <v>7085.94</v>
      </c>
      <c r="G28" s="1216">
        <v>566874.88</v>
      </c>
      <c r="H28" s="1218">
        <v>7085.94</v>
      </c>
      <c r="I28" s="1219">
        <v>559788.93999999994</v>
      </c>
    </row>
    <row r="29" spans="1:19" ht="27.75" customHeight="1">
      <c r="A29" s="1212" t="s">
        <v>1751</v>
      </c>
      <c r="B29" s="1213">
        <v>0</v>
      </c>
      <c r="C29" s="1214">
        <v>0</v>
      </c>
      <c r="D29" s="1215">
        <v>0</v>
      </c>
      <c r="E29" s="1216">
        <v>120338.98</v>
      </c>
      <c r="F29" s="1217">
        <v>13009.6</v>
      </c>
      <c r="G29" s="1216">
        <v>120338.98</v>
      </c>
      <c r="H29" s="1218">
        <v>13009.6</v>
      </c>
      <c r="I29" s="1219">
        <v>107329.38</v>
      </c>
    </row>
    <row r="30" spans="1:19" ht="27.75" customHeight="1">
      <c r="A30" s="1212" t="s">
        <v>1752</v>
      </c>
      <c r="B30" s="1213">
        <v>0</v>
      </c>
      <c r="C30" s="1214">
        <v>0</v>
      </c>
      <c r="D30" s="1215">
        <v>0</v>
      </c>
      <c r="E30" s="1216">
        <v>428895.06</v>
      </c>
      <c r="F30" s="1217">
        <v>11847.95</v>
      </c>
      <c r="G30" s="1216">
        <v>428895.06</v>
      </c>
      <c r="H30" s="1218">
        <v>11847.95</v>
      </c>
      <c r="I30" s="1219">
        <v>417047.11</v>
      </c>
    </row>
    <row r="31" spans="1:19" ht="27.75" customHeight="1">
      <c r="A31" s="1212" t="s">
        <v>1753</v>
      </c>
      <c r="B31" s="1213">
        <v>0</v>
      </c>
      <c r="C31" s="1214">
        <v>0</v>
      </c>
      <c r="D31" s="1215">
        <v>0</v>
      </c>
      <c r="E31" s="1216">
        <v>5823981.2599999998</v>
      </c>
      <c r="F31" s="1217">
        <v>72799.77</v>
      </c>
      <c r="G31" s="1216">
        <v>5823981.2599999998</v>
      </c>
      <c r="H31" s="1218">
        <v>72799.77</v>
      </c>
      <c r="I31" s="1219">
        <v>5751181.4900000002</v>
      </c>
    </row>
    <row r="32" spans="1:19" ht="27.75" customHeight="1">
      <c r="A32" s="1212" t="s">
        <v>1754</v>
      </c>
      <c r="B32" s="1213">
        <v>0</v>
      </c>
      <c r="C32" s="1214">
        <v>0</v>
      </c>
      <c r="D32" s="1215">
        <v>0</v>
      </c>
      <c r="E32" s="1216">
        <v>22507.61</v>
      </c>
      <c r="F32" s="1217">
        <v>2411.5500000000002</v>
      </c>
      <c r="G32" s="1216">
        <v>22507.61</v>
      </c>
      <c r="H32" s="1218">
        <v>2411.5500000000002</v>
      </c>
      <c r="I32" s="1219">
        <v>20096.060000000001</v>
      </c>
    </row>
    <row r="33" spans="1:24" ht="27.75" customHeight="1">
      <c r="A33" s="1212" t="s">
        <v>1755</v>
      </c>
      <c r="B33" s="1213">
        <v>0</v>
      </c>
      <c r="C33" s="1214">
        <v>0</v>
      </c>
      <c r="D33" s="1215">
        <v>0</v>
      </c>
      <c r="E33" s="1216">
        <v>1913647.37</v>
      </c>
      <c r="F33" s="1217">
        <v>95682.33</v>
      </c>
      <c r="G33" s="1216">
        <v>1913647.37</v>
      </c>
      <c r="H33" s="1218">
        <v>95682.33</v>
      </c>
      <c r="I33" s="1219">
        <v>1817965.04</v>
      </c>
    </row>
    <row r="34" spans="1:24" ht="27.75" customHeight="1">
      <c r="A34" s="1212" t="s">
        <v>1756</v>
      </c>
      <c r="B34" s="1213">
        <v>0</v>
      </c>
      <c r="C34" s="1214">
        <v>0</v>
      </c>
      <c r="D34" s="1215">
        <v>0</v>
      </c>
      <c r="E34" s="1216">
        <v>52637</v>
      </c>
      <c r="F34" s="1220">
        <v>417.76</v>
      </c>
      <c r="G34" s="1216">
        <v>52637</v>
      </c>
      <c r="H34" s="1214">
        <v>417.76</v>
      </c>
      <c r="I34" s="1219">
        <v>52219.24</v>
      </c>
    </row>
    <row r="37" spans="1:24" ht="21">
      <c r="A37" s="1221"/>
    </row>
    <row r="38" spans="1:24" ht="21">
      <c r="A38" s="234"/>
    </row>
    <row r="39" spans="1:24" ht="18">
      <c r="A39" s="1209" t="s">
        <v>1459</v>
      </c>
      <c r="B39" s="1210"/>
      <c r="C39" s="1210"/>
      <c r="D39" s="1210"/>
      <c r="E39" s="1210"/>
      <c r="F39" s="1210"/>
      <c r="G39" s="1210"/>
      <c r="H39" s="1210"/>
      <c r="I39" s="1210"/>
      <c r="K39" s="1209" t="s">
        <v>1459</v>
      </c>
      <c r="L39" s="1210"/>
      <c r="M39" s="1210"/>
      <c r="N39" s="1210"/>
      <c r="O39" s="1210"/>
      <c r="P39" s="1210"/>
      <c r="Q39" s="1210"/>
      <c r="R39" s="1210"/>
      <c r="S39" s="1210"/>
    </row>
    <row r="40" spans="1:24" ht="15.75">
      <c r="A40" s="1193" t="s">
        <v>1710</v>
      </c>
      <c r="B40" s="1194"/>
      <c r="C40" s="1194"/>
      <c r="D40" s="1194"/>
      <c r="E40" s="1194"/>
      <c r="F40" s="1194"/>
      <c r="G40" s="1194"/>
      <c r="H40" s="1194"/>
      <c r="I40" s="1194"/>
      <c r="K40" s="1193" t="s">
        <v>1711</v>
      </c>
      <c r="L40" s="1194"/>
      <c r="M40" s="1194"/>
      <c r="N40" s="1194"/>
      <c r="O40" s="1194"/>
      <c r="P40" s="1194"/>
      <c r="Q40" s="1194"/>
      <c r="R40" s="1194"/>
      <c r="S40" s="1194"/>
    </row>
    <row r="41" spans="1:24" ht="15.75">
      <c r="A41" s="1193" t="s">
        <v>1757</v>
      </c>
      <c r="B41" s="1194"/>
      <c r="C41" s="1194"/>
      <c r="D41" s="1194"/>
      <c r="E41" s="1194"/>
      <c r="F41" s="1194"/>
      <c r="G41" s="1194"/>
      <c r="H41" s="1194"/>
      <c r="I41" s="1194"/>
      <c r="K41" s="1193" t="s">
        <v>1702</v>
      </c>
      <c r="L41" s="1194"/>
      <c r="M41" s="1194"/>
      <c r="N41" s="1194"/>
      <c r="O41" s="1194"/>
      <c r="P41" s="1194"/>
      <c r="Q41" s="1194"/>
      <c r="R41" s="1194"/>
      <c r="S41" s="1194"/>
    </row>
    <row r="42" spans="1:24" ht="15.75" thickBot="1">
      <c r="A42" s="1946" t="s">
        <v>4794</v>
      </c>
      <c r="B42" s="1946"/>
      <c r="C42" s="1946"/>
      <c r="D42" s="1946"/>
      <c r="E42" s="1946"/>
      <c r="F42" s="1946"/>
      <c r="G42" s="1946"/>
      <c r="H42" s="1946"/>
      <c r="I42" s="1946"/>
      <c r="K42" s="1946" t="s">
        <v>4794</v>
      </c>
      <c r="L42" s="1946"/>
      <c r="M42" s="1946"/>
      <c r="N42" s="1946"/>
      <c r="O42" s="1946"/>
      <c r="P42" s="1946"/>
      <c r="Q42" s="1946"/>
      <c r="R42" s="1946"/>
      <c r="S42" s="1946"/>
    </row>
    <row r="43" spans="1:24" ht="20.25" thickTop="1" thickBot="1">
      <c r="A43" s="1211"/>
      <c r="B43" s="1195" t="s">
        <v>1694</v>
      </c>
      <c r="C43" s="1196"/>
      <c r="D43" s="1196"/>
      <c r="E43" s="1195" t="s">
        <v>1695</v>
      </c>
      <c r="F43" s="1196"/>
      <c r="G43" s="1195" t="s">
        <v>1696</v>
      </c>
      <c r="H43" s="1196"/>
      <c r="I43" s="1197"/>
      <c r="K43" s="1222"/>
      <c r="L43" s="1205" t="s">
        <v>1694</v>
      </c>
      <c r="M43" s="1205"/>
      <c r="N43" s="1205"/>
      <c r="O43" s="1205" t="s">
        <v>1695</v>
      </c>
      <c r="P43" s="1205"/>
      <c r="Q43" s="1205" t="s">
        <v>1696</v>
      </c>
      <c r="R43" s="1205"/>
      <c r="S43" s="1205"/>
      <c r="V43" s="1223" t="s">
        <v>747</v>
      </c>
      <c r="W43" s="1223" t="s">
        <v>748</v>
      </c>
      <c r="X43" s="1223" t="s">
        <v>1758</v>
      </c>
    </row>
    <row r="44" spans="1:24" ht="45.75" customHeight="1" thickTop="1" thickBot="1">
      <c r="A44" s="1198" t="s">
        <v>1714</v>
      </c>
      <c r="B44" s="1198" t="s">
        <v>1697</v>
      </c>
      <c r="C44" s="1199" t="s">
        <v>1698</v>
      </c>
      <c r="D44" s="1199" t="s">
        <v>1699</v>
      </c>
      <c r="E44" s="1198" t="s">
        <v>1700</v>
      </c>
      <c r="F44" s="1199" t="s">
        <v>1701</v>
      </c>
      <c r="G44" s="1198" t="s">
        <v>1697</v>
      </c>
      <c r="H44" s="1199" t="s">
        <v>1698</v>
      </c>
      <c r="I44" s="1200" t="s">
        <v>1699</v>
      </c>
      <c r="K44" s="1206" t="s">
        <v>1714</v>
      </c>
      <c r="L44" s="1206" t="s">
        <v>1697</v>
      </c>
      <c r="M44" s="1206" t="s">
        <v>1698</v>
      </c>
      <c r="N44" s="1206" t="s">
        <v>1699</v>
      </c>
      <c r="O44" s="1206" t="s">
        <v>1700</v>
      </c>
      <c r="P44" s="1206" t="s">
        <v>1701</v>
      </c>
      <c r="Q44" s="1206" t="s">
        <v>1697</v>
      </c>
      <c r="R44" s="1206" t="s">
        <v>1698</v>
      </c>
      <c r="S44" s="1206" t="s">
        <v>1699</v>
      </c>
      <c r="V44" s="1224" t="s">
        <v>1759</v>
      </c>
      <c r="W44" s="1224" t="s">
        <v>1597</v>
      </c>
      <c r="X44" s="1224">
        <v>0</v>
      </c>
    </row>
    <row r="45" spans="1:24" ht="45.75" customHeight="1" thickTop="1" thickBot="1">
      <c r="A45" s="1212" t="s">
        <v>1598</v>
      </c>
      <c r="B45" s="1213">
        <v>0</v>
      </c>
      <c r="C45" s="1214">
        <v>0</v>
      </c>
      <c r="D45" s="1215">
        <v>0</v>
      </c>
      <c r="E45" s="1216">
        <v>365931.36</v>
      </c>
      <c r="F45" s="1217">
        <v>21525.35</v>
      </c>
      <c r="G45" s="1216">
        <v>365931.36</v>
      </c>
      <c r="H45" s="1218">
        <v>21525.35</v>
      </c>
      <c r="I45" s="1219">
        <v>344406.01</v>
      </c>
      <c r="K45" s="1225" t="s">
        <v>1599</v>
      </c>
      <c r="L45" s="1218">
        <v>10362</v>
      </c>
      <c r="M45" s="1218">
        <v>10362</v>
      </c>
      <c r="N45" s="1214">
        <v>0</v>
      </c>
      <c r="O45" s="1218">
        <v>-10362</v>
      </c>
      <c r="P45" s="1218">
        <v>-10362</v>
      </c>
      <c r="Q45" s="1214">
        <v>0</v>
      </c>
      <c r="R45" s="1214">
        <v>0</v>
      </c>
      <c r="S45" s="1214">
        <v>0</v>
      </c>
      <c r="V45" s="1224" t="s">
        <v>1600</v>
      </c>
      <c r="W45" s="1224" t="s">
        <v>1601</v>
      </c>
      <c r="X45" s="1224">
        <v>2810177.7</v>
      </c>
    </row>
    <row r="46" spans="1:24" ht="45.75" customHeight="1" thickTop="1" thickBot="1">
      <c r="A46" s="1212" t="s">
        <v>1602</v>
      </c>
      <c r="B46" s="1213">
        <v>0</v>
      </c>
      <c r="C46" s="1214">
        <v>0</v>
      </c>
      <c r="D46" s="1215">
        <v>0</v>
      </c>
      <c r="E46" s="1216">
        <v>190942</v>
      </c>
      <c r="F46" s="1220">
        <v>0</v>
      </c>
      <c r="G46" s="1216">
        <v>190942</v>
      </c>
      <c r="H46" s="1214">
        <v>0</v>
      </c>
      <c r="I46" s="1219">
        <v>190942</v>
      </c>
      <c r="K46" s="1225" t="s">
        <v>1603</v>
      </c>
      <c r="L46" s="1218">
        <v>119011</v>
      </c>
      <c r="M46" s="1218">
        <v>26529.119999999999</v>
      </c>
      <c r="N46" s="1218">
        <v>92481.88</v>
      </c>
      <c r="O46" s="1218">
        <v>-119011</v>
      </c>
      <c r="P46" s="1218">
        <v>-26529.119999999999</v>
      </c>
      <c r="Q46" s="1214">
        <v>0</v>
      </c>
      <c r="R46" s="1214">
        <v>0</v>
      </c>
      <c r="S46" s="1214">
        <v>0</v>
      </c>
      <c r="V46" s="1224" t="s">
        <v>1604</v>
      </c>
      <c r="W46" s="1224" t="s">
        <v>261</v>
      </c>
      <c r="X46" s="1224">
        <v>3733599.19</v>
      </c>
    </row>
    <row r="47" spans="1:24" ht="45.75" customHeight="1" thickTop="1" thickBot="1">
      <c r="A47" s="1212" t="s">
        <v>1605</v>
      </c>
      <c r="B47" s="1213">
        <v>0</v>
      </c>
      <c r="C47" s="1214">
        <v>0</v>
      </c>
      <c r="D47" s="1215">
        <v>0</v>
      </c>
      <c r="E47" s="1216">
        <v>1247278.6299999999</v>
      </c>
      <c r="F47" s="1217">
        <v>12014.31</v>
      </c>
      <c r="G47" s="1216">
        <v>1247278.6299999999</v>
      </c>
      <c r="H47" s="1218">
        <v>12014.31</v>
      </c>
      <c r="I47" s="1219">
        <v>1235264.32</v>
      </c>
      <c r="K47" s="1225" t="s">
        <v>1606</v>
      </c>
      <c r="L47" s="1218">
        <v>27030</v>
      </c>
      <c r="M47" s="1218">
        <v>27030</v>
      </c>
      <c r="N47" s="1214">
        <v>0</v>
      </c>
      <c r="O47" s="1218">
        <v>-27030</v>
      </c>
      <c r="P47" s="1218">
        <v>-27030</v>
      </c>
      <c r="Q47" s="1214">
        <v>0</v>
      </c>
      <c r="R47" s="1214">
        <v>0</v>
      </c>
      <c r="S47" s="1214">
        <v>0</v>
      </c>
      <c r="V47" s="1224" t="s">
        <v>1607</v>
      </c>
      <c r="W47" s="1224" t="s">
        <v>1608</v>
      </c>
      <c r="X47" s="1224">
        <v>0</v>
      </c>
    </row>
    <row r="48" spans="1:24" ht="45.75" customHeight="1" thickTop="1" thickBot="1">
      <c r="A48" s="1212" t="s">
        <v>1609</v>
      </c>
      <c r="B48" s="1213">
        <v>0</v>
      </c>
      <c r="C48" s="1214">
        <v>0</v>
      </c>
      <c r="D48" s="1215">
        <v>0</v>
      </c>
      <c r="E48" s="1216">
        <v>1247278.6299999999</v>
      </c>
      <c r="F48" s="1217">
        <v>12014.31</v>
      </c>
      <c r="G48" s="1216">
        <v>1247278.6299999999</v>
      </c>
      <c r="H48" s="1218">
        <v>12014.31</v>
      </c>
      <c r="I48" s="1219">
        <v>1235264.32</v>
      </c>
      <c r="K48" s="1225" t="s">
        <v>1610</v>
      </c>
      <c r="L48" s="1218">
        <v>24030.51</v>
      </c>
      <c r="M48" s="1218">
        <v>22428.560000000001</v>
      </c>
      <c r="N48" s="1218">
        <v>1601.95</v>
      </c>
      <c r="O48" s="1218">
        <v>-24030.51</v>
      </c>
      <c r="P48" s="1218">
        <v>-22428.560000000001</v>
      </c>
      <c r="Q48" s="1214">
        <v>0</v>
      </c>
      <c r="R48" s="1214">
        <v>0</v>
      </c>
      <c r="S48" s="1214">
        <v>0</v>
      </c>
      <c r="V48" s="1224" t="s">
        <v>1611</v>
      </c>
      <c r="W48" s="1224" t="s">
        <v>3787</v>
      </c>
      <c r="X48" s="1224">
        <v>11121007.829999998</v>
      </c>
    </row>
    <row r="49" spans="1:24" ht="45.75" customHeight="1" thickTop="1" thickBot="1">
      <c r="A49" s="1212" t="s">
        <v>1612</v>
      </c>
      <c r="B49" s="1213">
        <v>0</v>
      </c>
      <c r="C49" s="1214">
        <v>0</v>
      </c>
      <c r="D49" s="1215">
        <v>0</v>
      </c>
      <c r="E49" s="1216">
        <v>86187.21</v>
      </c>
      <c r="F49" s="1220">
        <v>0</v>
      </c>
      <c r="G49" s="1216">
        <v>86187.21</v>
      </c>
      <c r="H49" s="1214">
        <v>0</v>
      </c>
      <c r="I49" s="1219">
        <v>86187.21</v>
      </c>
      <c r="K49" s="1225" t="s">
        <v>1613</v>
      </c>
      <c r="L49" s="1218">
        <v>13692</v>
      </c>
      <c r="M49" s="1218">
        <v>13692</v>
      </c>
      <c r="N49" s="1214">
        <v>0</v>
      </c>
      <c r="O49" s="1218">
        <v>-13692</v>
      </c>
      <c r="P49" s="1218">
        <v>-13692</v>
      </c>
      <c r="Q49" s="1214">
        <v>0</v>
      </c>
      <c r="R49" s="1214">
        <v>0</v>
      </c>
      <c r="S49" s="1214">
        <v>0</v>
      </c>
      <c r="V49" s="1224" t="s">
        <v>1614</v>
      </c>
      <c r="W49" s="1224" t="s">
        <v>1615</v>
      </c>
      <c r="X49" s="1224">
        <v>10443308.859999999</v>
      </c>
    </row>
    <row r="50" spans="1:24" ht="45.75" customHeight="1" thickTop="1" thickBot="1">
      <c r="A50" s="1212" t="s">
        <v>1616</v>
      </c>
      <c r="B50" s="1213">
        <v>0</v>
      </c>
      <c r="C50" s="1214">
        <v>0</v>
      </c>
      <c r="D50" s="1215">
        <v>0</v>
      </c>
      <c r="E50" s="1216">
        <v>2467400</v>
      </c>
      <c r="F50" s="1220">
        <v>0</v>
      </c>
      <c r="G50" s="1216">
        <v>2467400</v>
      </c>
      <c r="H50" s="1214">
        <v>0</v>
      </c>
      <c r="I50" s="1219">
        <v>2467400</v>
      </c>
      <c r="K50" s="1225" t="s">
        <v>1617</v>
      </c>
      <c r="L50" s="1218">
        <v>25196.98</v>
      </c>
      <c r="M50" s="1218">
        <v>21293.4</v>
      </c>
      <c r="N50" s="1218">
        <v>3903.58</v>
      </c>
      <c r="O50" s="1218">
        <v>-25196.98</v>
      </c>
      <c r="P50" s="1218">
        <v>-21293.4</v>
      </c>
      <c r="Q50" s="1214">
        <v>0</v>
      </c>
      <c r="R50" s="1214">
        <v>0</v>
      </c>
      <c r="S50" s="1214">
        <v>0</v>
      </c>
      <c r="V50" s="1224" t="s">
        <v>1618</v>
      </c>
      <c r="W50" s="1224" t="s">
        <v>1619</v>
      </c>
      <c r="X50" s="1224">
        <v>677698.97</v>
      </c>
    </row>
    <row r="51" spans="1:24" ht="45.75" customHeight="1" thickTop="1" thickBot="1">
      <c r="A51" s="1212" t="s">
        <v>1620</v>
      </c>
      <c r="B51" s="1213">
        <v>0</v>
      </c>
      <c r="C51" s="1214">
        <v>0</v>
      </c>
      <c r="D51" s="1215">
        <v>0</v>
      </c>
      <c r="E51" s="1216">
        <v>18600</v>
      </c>
      <c r="F51" s="1217">
        <v>2066.6799999999998</v>
      </c>
      <c r="G51" s="1216">
        <v>18600</v>
      </c>
      <c r="H51" s="1218">
        <v>2066.6799999999998</v>
      </c>
      <c r="I51" s="1219">
        <v>16533.32</v>
      </c>
      <c r="K51" s="1225" t="s">
        <v>1745</v>
      </c>
      <c r="L51" s="1218">
        <v>28008.48</v>
      </c>
      <c r="M51" s="1218">
        <v>1556.02</v>
      </c>
      <c r="N51" s="1218">
        <v>26452.46</v>
      </c>
      <c r="O51" s="1218">
        <v>-28008.48</v>
      </c>
      <c r="P51" s="1218">
        <v>-1556.02</v>
      </c>
      <c r="Q51" s="1214">
        <v>0</v>
      </c>
      <c r="R51" s="1214">
        <v>0</v>
      </c>
      <c r="S51" s="1214">
        <v>0</v>
      </c>
      <c r="V51" s="1224" t="s">
        <v>1621</v>
      </c>
      <c r="W51" s="1224" t="s">
        <v>1622</v>
      </c>
      <c r="X51" s="1224">
        <v>18380554.659382433</v>
      </c>
    </row>
    <row r="52" spans="1:24" ht="45.75" customHeight="1" thickTop="1" thickBot="1">
      <c r="A52" s="1212" t="s">
        <v>1623</v>
      </c>
      <c r="B52" s="1213">
        <v>0</v>
      </c>
      <c r="C52" s="1214">
        <v>0</v>
      </c>
      <c r="D52" s="1215">
        <v>0</v>
      </c>
      <c r="E52" s="1216">
        <v>18600</v>
      </c>
      <c r="F52" s="1217">
        <v>2066.6799999999998</v>
      </c>
      <c r="G52" s="1216">
        <v>18600</v>
      </c>
      <c r="H52" s="1218">
        <v>2066.6799999999998</v>
      </c>
      <c r="I52" s="1219">
        <v>16533.32</v>
      </c>
      <c r="K52" s="1225" t="s">
        <v>1624</v>
      </c>
      <c r="L52" s="1218">
        <v>246322</v>
      </c>
      <c r="M52" s="1218">
        <v>165749.04</v>
      </c>
      <c r="N52" s="1218">
        <v>80572.960000000006</v>
      </c>
      <c r="O52" s="1218">
        <v>-246322</v>
      </c>
      <c r="P52" s="1218">
        <v>-165749.04</v>
      </c>
      <c r="Q52" s="1214">
        <v>0</v>
      </c>
      <c r="R52" s="1214">
        <v>0</v>
      </c>
      <c r="S52" s="1214">
        <v>0</v>
      </c>
      <c r="V52" s="1224" t="s">
        <v>1625</v>
      </c>
      <c r="W52" s="1224" t="s">
        <v>1626</v>
      </c>
      <c r="X52" s="1224">
        <v>4452378.7636719011</v>
      </c>
    </row>
    <row r="53" spans="1:24" ht="47.25" customHeight="1" thickTop="1" thickBot="1">
      <c r="A53" s="1212" t="s">
        <v>1627</v>
      </c>
      <c r="B53" s="1213">
        <v>0</v>
      </c>
      <c r="C53" s="1214">
        <v>0</v>
      </c>
      <c r="D53" s="1215">
        <v>0</v>
      </c>
      <c r="E53" s="1216">
        <v>12398102.91</v>
      </c>
      <c r="F53" s="1217">
        <v>401790.34</v>
      </c>
      <c r="G53" s="1216">
        <v>12398102.91</v>
      </c>
      <c r="H53" s="1218">
        <v>401790.34</v>
      </c>
      <c r="I53" s="1219">
        <v>11996312.57</v>
      </c>
      <c r="K53" s="1225" t="s">
        <v>1628</v>
      </c>
      <c r="L53" s="1218">
        <v>110742</v>
      </c>
      <c r="M53" s="1218">
        <v>110742</v>
      </c>
      <c r="N53" s="1214">
        <v>0</v>
      </c>
      <c r="O53" s="1218">
        <v>-110742</v>
      </c>
      <c r="P53" s="1218">
        <v>-110742</v>
      </c>
      <c r="Q53" s="1214">
        <v>0</v>
      </c>
      <c r="R53" s="1214">
        <v>0</v>
      </c>
      <c r="S53" s="1214">
        <v>0</v>
      </c>
      <c r="V53" s="1224" t="s">
        <v>1629</v>
      </c>
      <c r="W53" s="1224" t="s">
        <v>1630</v>
      </c>
      <c r="X53" s="1224">
        <v>3418161.6388968639</v>
      </c>
    </row>
    <row r="54" spans="1:24" ht="35.25" customHeight="1" thickTop="1" thickBot="1">
      <c r="A54" s="1212" t="s">
        <v>1631</v>
      </c>
      <c r="B54" s="1213">
        <v>0</v>
      </c>
      <c r="C54" s="1214">
        <v>0</v>
      </c>
      <c r="D54" s="1215">
        <v>0</v>
      </c>
      <c r="E54" s="1216">
        <v>27140</v>
      </c>
      <c r="F54" s="1217">
        <v>4975.63</v>
      </c>
      <c r="G54" s="1216">
        <v>27140</v>
      </c>
      <c r="H54" s="1218">
        <v>4975.63</v>
      </c>
      <c r="I54" s="1219">
        <v>22164.37</v>
      </c>
      <c r="K54" s="1225" t="s">
        <v>1632</v>
      </c>
      <c r="L54" s="1218">
        <v>24916.1</v>
      </c>
      <c r="M54" s="1218">
        <v>19379.080000000002</v>
      </c>
      <c r="N54" s="1218">
        <v>5537.02</v>
      </c>
      <c r="O54" s="1218">
        <v>-24916.1</v>
      </c>
      <c r="P54" s="1218">
        <v>-19379.080000000002</v>
      </c>
      <c r="Q54" s="1214">
        <v>0</v>
      </c>
      <c r="R54" s="1214">
        <v>0</v>
      </c>
      <c r="S54" s="1214">
        <v>0</v>
      </c>
      <c r="V54" s="1224" t="s">
        <v>1633</v>
      </c>
      <c r="W54" s="1224" t="s">
        <v>1634</v>
      </c>
      <c r="X54" s="1224">
        <v>3100359.7973712464</v>
      </c>
    </row>
    <row r="55" spans="1:24" ht="39" customHeight="1" thickTop="1" thickBot="1">
      <c r="A55" s="1212" t="s">
        <v>1635</v>
      </c>
      <c r="B55" s="1213">
        <v>0</v>
      </c>
      <c r="C55" s="1214">
        <v>0</v>
      </c>
      <c r="D55" s="1215">
        <v>0</v>
      </c>
      <c r="E55" s="1216">
        <v>39745.760000000002</v>
      </c>
      <c r="F55" s="1217">
        <v>6515.7</v>
      </c>
      <c r="G55" s="1216">
        <v>39745.760000000002</v>
      </c>
      <c r="H55" s="1218">
        <v>6515.7</v>
      </c>
      <c r="I55" s="1219">
        <v>33230.06</v>
      </c>
      <c r="K55" s="1225" t="s">
        <v>1636</v>
      </c>
      <c r="L55" s="1218">
        <v>11471</v>
      </c>
      <c r="M55" s="1218">
        <v>6940.08</v>
      </c>
      <c r="N55" s="1218">
        <v>4530.92</v>
      </c>
      <c r="O55" s="1218">
        <v>-11471</v>
      </c>
      <c r="P55" s="1218">
        <v>-6940.08</v>
      </c>
      <c r="Q55" s="1214">
        <v>0</v>
      </c>
      <c r="R55" s="1214">
        <v>0</v>
      </c>
      <c r="S55" s="1214">
        <v>0</v>
      </c>
      <c r="V55" s="1224" t="s">
        <v>1637</v>
      </c>
      <c r="W55" s="1224" t="s">
        <v>1638</v>
      </c>
      <c r="X55" s="1224">
        <v>47016239.579322428</v>
      </c>
    </row>
    <row r="56" spans="1:24" ht="30.75" thickTop="1">
      <c r="A56" s="1212" t="s">
        <v>1639</v>
      </c>
      <c r="B56" s="1213">
        <v>0</v>
      </c>
      <c r="C56" s="1214">
        <v>0</v>
      </c>
      <c r="D56" s="1215">
        <v>0</v>
      </c>
      <c r="E56" s="1216">
        <v>70631.350000000006</v>
      </c>
      <c r="F56" s="1217">
        <v>8828.91</v>
      </c>
      <c r="G56" s="1216">
        <v>70631.350000000006</v>
      </c>
      <c r="H56" s="1218">
        <v>8828.91</v>
      </c>
      <c r="I56" s="1219">
        <v>61802.44</v>
      </c>
      <c r="K56" s="1225" t="s">
        <v>1640</v>
      </c>
      <c r="L56" s="1218">
        <v>11471</v>
      </c>
      <c r="M56" s="1218">
        <v>6940.08</v>
      </c>
      <c r="N56" s="1218">
        <v>4530.92</v>
      </c>
      <c r="O56" s="1218">
        <v>-11471</v>
      </c>
      <c r="P56" s="1218">
        <v>-6940.08</v>
      </c>
      <c r="Q56" s="1214">
        <v>0</v>
      </c>
      <c r="R56" s="1214">
        <v>0</v>
      </c>
      <c r="S56" s="1214">
        <v>0</v>
      </c>
    </row>
    <row r="57" spans="1:24" ht="45">
      <c r="A57" s="1212" t="s">
        <v>1641</v>
      </c>
      <c r="B57" s="1213">
        <v>0</v>
      </c>
      <c r="C57" s="1214">
        <v>0</v>
      </c>
      <c r="D57" s="1215">
        <v>0</v>
      </c>
      <c r="E57" s="1216">
        <v>22391.53</v>
      </c>
      <c r="F57" s="1217">
        <v>3250.35</v>
      </c>
      <c r="G57" s="1216">
        <v>22391.53</v>
      </c>
      <c r="H57" s="1218">
        <v>3250.35</v>
      </c>
      <c r="I57" s="1219">
        <v>19141.18</v>
      </c>
    </row>
    <row r="58" spans="1:24" ht="30">
      <c r="A58" s="1212" t="s">
        <v>1642</v>
      </c>
      <c r="B58" s="1213">
        <v>0</v>
      </c>
      <c r="C58" s="1214">
        <v>0</v>
      </c>
      <c r="D58" s="1215">
        <v>0</v>
      </c>
      <c r="E58" s="1216">
        <v>868785.03</v>
      </c>
      <c r="F58" s="1217">
        <v>26472.71</v>
      </c>
      <c r="G58" s="1216">
        <v>868785.03</v>
      </c>
      <c r="H58" s="1218">
        <v>26472.71</v>
      </c>
      <c r="I58" s="1219">
        <v>842312.32</v>
      </c>
    </row>
    <row r="59" spans="1:24" ht="30">
      <c r="A59" s="1212" t="s">
        <v>1643</v>
      </c>
      <c r="B59" s="1213">
        <v>0</v>
      </c>
      <c r="C59" s="1214">
        <v>0</v>
      </c>
      <c r="D59" s="1215">
        <v>0</v>
      </c>
      <c r="E59" s="1216">
        <v>389830.51</v>
      </c>
      <c r="F59" s="1220">
        <v>0</v>
      </c>
      <c r="G59" s="1216">
        <v>389830.51</v>
      </c>
      <c r="H59" s="1214">
        <v>0</v>
      </c>
      <c r="I59" s="1219">
        <v>389830.51</v>
      </c>
    </row>
    <row r="60" spans="1:24" ht="30">
      <c r="A60" s="1212" t="s">
        <v>3569</v>
      </c>
      <c r="B60" s="1213">
        <v>0</v>
      </c>
      <c r="C60" s="1214">
        <v>0</v>
      </c>
      <c r="D60" s="1215">
        <v>0</v>
      </c>
      <c r="E60" s="1216">
        <v>158326.07</v>
      </c>
      <c r="F60" s="1217">
        <v>16963.47</v>
      </c>
      <c r="G60" s="1216">
        <v>158326.07</v>
      </c>
      <c r="H60" s="1218">
        <v>16963.47</v>
      </c>
      <c r="I60" s="1219">
        <v>141362.6</v>
      </c>
    </row>
    <row r="61" spans="1:24" ht="30">
      <c r="A61" s="1212" t="s">
        <v>3570</v>
      </c>
      <c r="B61" s="1213">
        <v>0</v>
      </c>
      <c r="C61" s="1214">
        <v>0</v>
      </c>
      <c r="D61" s="1215">
        <v>0</v>
      </c>
      <c r="E61" s="1216">
        <v>127008.45</v>
      </c>
      <c r="F61" s="1217">
        <v>13608.09</v>
      </c>
      <c r="G61" s="1216">
        <v>127008.45</v>
      </c>
      <c r="H61" s="1218">
        <v>13608.09</v>
      </c>
      <c r="I61" s="1219">
        <v>113400.36</v>
      </c>
    </row>
    <row r="62" spans="1:24" ht="30">
      <c r="A62" s="1212" t="s">
        <v>3571</v>
      </c>
      <c r="B62" s="1213">
        <v>0</v>
      </c>
      <c r="C62" s="1214">
        <v>0</v>
      </c>
      <c r="D62" s="1215">
        <v>0</v>
      </c>
      <c r="E62" s="1216">
        <v>69210.210000000006</v>
      </c>
      <c r="F62" s="1217">
        <v>7415.37</v>
      </c>
      <c r="G62" s="1216">
        <v>69210.210000000006</v>
      </c>
      <c r="H62" s="1218">
        <v>7415.37</v>
      </c>
      <c r="I62" s="1219">
        <v>61794.84</v>
      </c>
    </row>
    <row r="63" spans="1:24" ht="30">
      <c r="A63" s="1212" t="s">
        <v>1376</v>
      </c>
      <c r="B63" s="1213">
        <v>0</v>
      </c>
      <c r="C63" s="1214">
        <v>0</v>
      </c>
      <c r="D63" s="1215">
        <v>0</v>
      </c>
      <c r="E63" s="1216">
        <v>84760.54</v>
      </c>
      <c r="F63" s="1217">
        <v>2825.36</v>
      </c>
      <c r="G63" s="1216">
        <v>84760.54</v>
      </c>
      <c r="H63" s="1218">
        <v>2825.36</v>
      </c>
      <c r="I63" s="1219">
        <v>81935.179999999993</v>
      </c>
    </row>
    <row r="64" spans="1:24" ht="30">
      <c r="A64" s="1212" t="s">
        <v>1377</v>
      </c>
      <c r="B64" s="1213">
        <v>0</v>
      </c>
      <c r="C64" s="1214">
        <v>0</v>
      </c>
      <c r="D64" s="1215">
        <v>0</v>
      </c>
      <c r="E64" s="1216">
        <v>189830.51</v>
      </c>
      <c r="F64" s="1220">
        <v>0</v>
      </c>
      <c r="G64" s="1216">
        <v>189830.51</v>
      </c>
      <c r="H64" s="1214">
        <v>0</v>
      </c>
      <c r="I64" s="1219">
        <v>189830.51</v>
      </c>
    </row>
    <row r="65" spans="1:19" ht="30">
      <c r="A65" s="1212" t="s">
        <v>1378</v>
      </c>
      <c r="B65" s="1213">
        <v>0</v>
      </c>
      <c r="C65" s="1214">
        <v>0</v>
      </c>
      <c r="D65" s="1215">
        <v>0</v>
      </c>
      <c r="E65" s="1216">
        <v>587135.22</v>
      </c>
      <c r="F65" s="1217">
        <v>14637.69</v>
      </c>
      <c r="G65" s="1216">
        <v>587135.22</v>
      </c>
      <c r="H65" s="1218">
        <v>14637.69</v>
      </c>
      <c r="I65" s="1219">
        <v>572497.53</v>
      </c>
    </row>
    <row r="66" spans="1:19" ht="30">
      <c r="A66" s="1212" t="s">
        <v>0</v>
      </c>
      <c r="B66" s="1213">
        <v>0</v>
      </c>
      <c r="C66" s="1214">
        <v>0</v>
      </c>
      <c r="D66" s="1215">
        <v>0</v>
      </c>
      <c r="E66" s="1216">
        <v>50000</v>
      </c>
      <c r="F66" s="1217">
        <v>2499.9899999999998</v>
      </c>
      <c r="G66" s="1216">
        <v>50000</v>
      </c>
      <c r="H66" s="1218">
        <v>2499.9899999999998</v>
      </c>
      <c r="I66" s="1219">
        <v>47500.01</v>
      </c>
    </row>
    <row r="67" spans="1:19" ht="30">
      <c r="A67" s="1212" t="s">
        <v>1</v>
      </c>
      <c r="B67" s="1216">
        <v>202480</v>
      </c>
      <c r="C67" s="1218">
        <v>35771.29</v>
      </c>
      <c r="D67" s="1219">
        <v>166708.71</v>
      </c>
      <c r="E67" s="1216">
        <v>765577.52</v>
      </c>
      <c r="F67" s="1217">
        <v>35656.339999999997</v>
      </c>
      <c r="G67" s="1216">
        <v>968057.52</v>
      </c>
      <c r="H67" s="1218">
        <v>71427.63</v>
      </c>
      <c r="I67" s="1219">
        <v>896629.89</v>
      </c>
    </row>
    <row r="68" spans="1:19" ht="30">
      <c r="A68" s="1212" t="s">
        <v>2</v>
      </c>
      <c r="B68" s="1213">
        <v>0</v>
      </c>
      <c r="C68" s="1214">
        <v>0</v>
      </c>
      <c r="D68" s="1215">
        <v>0</v>
      </c>
      <c r="E68" s="1216">
        <v>540278.62</v>
      </c>
      <c r="F68" s="1217">
        <v>3176.82</v>
      </c>
      <c r="G68" s="1216">
        <v>540278.62</v>
      </c>
      <c r="H68" s="1218">
        <v>3176.82</v>
      </c>
      <c r="I68" s="1219">
        <v>537101.80000000005</v>
      </c>
    </row>
    <row r="69" spans="1:19" ht="30">
      <c r="A69" s="1212" t="s">
        <v>3</v>
      </c>
      <c r="B69" s="1213">
        <v>0</v>
      </c>
      <c r="C69" s="1214">
        <v>0</v>
      </c>
      <c r="D69" s="1215">
        <v>0</v>
      </c>
      <c r="E69" s="1216">
        <v>540278.62</v>
      </c>
      <c r="F69" s="1217">
        <v>3176.82</v>
      </c>
      <c r="G69" s="1216">
        <v>540278.62</v>
      </c>
      <c r="H69" s="1218">
        <v>3176.82</v>
      </c>
      <c r="I69" s="1219">
        <v>537101.80000000005</v>
      </c>
    </row>
    <row r="70" spans="1:19" ht="30">
      <c r="A70" s="1212" t="s">
        <v>4</v>
      </c>
      <c r="B70" s="1213">
        <v>0</v>
      </c>
      <c r="C70" s="1214">
        <v>0</v>
      </c>
      <c r="D70" s="1215">
        <v>0</v>
      </c>
      <c r="E70" s="1216">
        <v>540278.62</v>
      </c>
      <c r="F70" s="1217">
        <v>3176.82</v>
      </c>
      <c r="G70" s="1216">
        <v>540278.62</v>
      </c>
      <c r="H70" s="1218">
        <v>3176.82</v>
      </c>
      <c r="I70" s="1219">
        <v>537101.80000000005</v>
      </c>
    </row>
    <row r="71" spans="1:19" ht="30">
      <c r="A71" s="1212" t="s">
        <v>5</v>
      </c>
      <c r="B71" s="1213">
        <v>0</v>
      </c>
      <c r="C71" s="1214">
        <v>0</v>
      </c>
      <c r="D71" s="1215">
        <v>0</v>
      </c>
      <c r="E71" s="1216">
        <v>540278.62</v>
      </c>
      <c r="F71" s="1217">
        <v>3176.82</v>
      </c>
      <c r="G71" s="1216">
        <v>540278.62</v>
      </c>
      <c r="H71" s="1218">
        <v>3176.82</v>
      </c>
      <c r="I71" s="1219">
        <v>537101.80000000005</v>
      </c>
    </row>
    <row r="72" spans="1:19" ht="30">
      <c r="A72" s="1212" t="s">
        <v>6</v>
      </c>
      <c r="B72" s="1213">
        <v>0</v>
      </c>
      <c r="C72" s="1214">
        <v>0</v>
      </c>
      <c r="D72" s="1215">
        <v>0</v>
      </c>
      <c r="E72" s="1216">
        <v>540278.62</v>
      </c>
      <c r="F72" s="1217">
        <v>3176.82</v>
      </c>
      <c r="G72" s="1216">
        <v>540278.62</v>
      </c>
      <c r="H72" s="1218">
        <v>3176.82</v>
      </c>
      <c r="I72" s="1219">
        <v>537101.80000000005</v>
      </c>
    </row>
    <row r="73" spans="1:19" ht="30">
      <c r="A73" s="1212" t="s">
        <v>7</v>
      </c>
      <c r="B73" s="1213">
        <v>0</v>
      </c>
      <c r="C73" s="1214">
        <v>0</v>
      </c>
      <c r="D73" s="1215">
        <v>0</v>
      </c>
      <c r="E73" s="1216">
        <v>540278.62</v>
      </c>
      <c r="F73" s="1217">
        <v>3176.82</v>
      </c>
      <c r="G73" s="1216">
        <v>540278.62</v>
      </c>
      <c r="H73" s="1218">
        <v>3176.82</v>
      </c>
      <c r="I73" s="1219">
        <v>537101.80000000005</v>
      </c>
    </row>
    <row r="74" spans="1:19" ht="30">
      <c r="A74" s="1212" t="s">
        <v>8</v>
      </c>
      <c r="B74" s="1213">
        <v>0</v>
      </c>
      <c r="C74" s="1214">
        <v>0</v>
      </c>
      <c r="D74" s="1215">
        <v>0</v>
      </c>
      <c r="E74" s="1216">
        <v>102796.61</v>
      </c>
      <c r="F74" s="1220">
        <v>0</v>
      </c>
      <c r="G74" s="1216">
        <v>102796.61</v>
      </c>
      <c r="H74" s="1214">
        <v>0</v>
      </c>
      <c r="I74" s="1219">
        <v>102796.61</v>
      </c>
    </row>
    <row r="75" spans="1:19">
      <c r="A75" s="1212" t="s">
        <v>9</v>
      </c>
      <c r="B75" s="1213">
        <v>0</v>
      </c>
      <c r="C75" s="1214">
        <v>0</v>
      </c>
      <c r="D75" s="1215">
        <v>0</v>
      </c>
      <c r="E75" s="1216">
        <v>850786.84</v>
      </c>
      <c r="F75" s="1220">
        <v>0</v>
      </c>
      <c r="G75" s="1216">
        <v>850786.84</v>
      </c>
      <c r="H75" s="1214">
        <v>0</v>
      </c>
      <c r="I75" s="1219">
        <v>850786.84</v>
      </c>
    </row>
    <row r="78" spans="1:19" ht="18">
      <c r="A78" s="1209" t="s">
        <v>1459</v>
      </c>
      <c r="B78" s="1210"/>
      <c r="C78" s="1210"/>
      <c r="D78" s="1210"/>
      <c r="E78" s="1210"/>
      <c r="F78" s="1210"/>
      <c r="G78" s="1210"/>
      <c r="H78" s="1210"/>
      <c r="I78" s="1210"/>
      <c r="K78" s="1209" t="s">
        <v>1459</v>
      </c>
      <c r="L78" s="1210"/>
      <c r="M78" s="1210"/>
      <c r="N78" s="1210"/>
      <c r="O78" s="1210"/>
      <c r="P78" s="1210"/>
      <c r="Q78" s="1210"/>
      <c r="R78" s="1210"/>
      <c r="S78" s="1210"/>
    </row>
    <row r="79" spans="1:19" ht="15.75">
      <c r="A79" s="1193" t="s">
        <v>10</v>
      </c>
      <c r="B79" s="1194"/>
      <c r="C79" s="1194"/>
      <c r="D79" s="1194"/>
      <c r="E79" s="1194"/>
      <c r="F79" s="1194"/>
      <c r="G79" s="1194"/>
      <c r="H79" s="1194"/>
      <c r="I79" s="1194"/>
      <c r="K79" s="1193" t="s">
        <v>1711</v>
      </c>
      <c r="L79" s="1194"/>
      <c r="M79" s="1194"/>
      <c r="N79" s="1194"/>
      <c r="O79" s="1194"/>
      <c r="P79" s="1194"/>
      <c r="Q79" s="1194"/>
      <c r="R79" s="1194"/>
      <c r="S79" s="1194"/>
    </row>
    <row r="80" spans="1:19" ht="15.75">
      <c r="A80" s="1193" t="s">
        <v>11</v>
      </c>
      <c r="B80" s="1194"/>
      <c r="C80" s="1194"/>
      <c r="D80" s="1194"/>
      <c r="E80" s="1194"/>
      <c r="F80" s="1194"/>
      <c r="G80" s="1194"/>
      <c r="H80" s="1194"/>
      <c r="I80" s="1194"/>
      <c r="K80" s="1193" t="s">
        <v>1703</v>
      </c>
      <c r="L80" s="1194"/>
      <c r="M80" s="1194"/>
      <c r="N80" s="1194"/>
      <c r="O80" s="1194"/>
      <c r="P80" s="1194"/>
      <c r="Q80" s="1194"/>
      <c r="R80" s="1194"/>
      <c r="S80" s="1194"/>
    </row>
    <row r="81" spans="1:19" ht="15.75" thickBot="1">
      <c r="A81" s="1946"/>
      <c r="B81" s="1946"/>
      <c r="C81" s="1946"/>
      <c r="D81" s="1946"/>
      <c r="E81" s="1946"/>
      <c r="F81" s="1946"/>
      <c r="G81" s="1946"/>
      <c r="H81" s="1946"/>
      <c r="I81" s="1946"/>
      <c r="K81" s="1946"/>
      <c r="L81" s="1946"/>
      <c r="M81" s="1946"/>
      <c r="N81" s="1946"/>
      <c r="O81" s="1946"/>
      <c r="P81" s="1946"/>
      <c r="Q81" s="1946"/>
      <c r="R81" s="1946"/>
      <c r="S81" s="1946"/>
    </row>
    <row r="82" spans="1:19" ht="15.75" thickTop="1">
      <c r="A82" s="1211" t="s">
        <v>1713</v>
      </c>
      <c r="B82" s="1195" t="s">
        <v>1694</v>
      </c>
      <c r="C82" s="1196"/>
      <c r="D82" s="1196"/>
      <c r="E82" s="1195" t="s">
        <v>1695</v>
      </c>
      <c r="F82" s="1196"/>
      <c r="G82" s="1195" t="s">
        <v>1696</v>
      </c>
      <c r="H82" s="1196"/>
      <c r="I82" s="1197"/>
      <c r="K82" s="1211" t="s">
        <v>1713</v>
      </c>
      <c r="L82" s="1195" t="s">
        <v>1694</v>
      </c>
      <c r="M82" s="1196"/>
      <c r="N82" s="1196"/>
      <c r="O82" s="1195" t="s">
        <v>1695</v>
      </c>
      <c r="P82" s="1196"/>
      <c r="Q82" s="1195" t="s">
        <v>1696</v>
      </c>
      <c r="R82" s="1196"/>
      <c r="S82" s="1197"/>
    </row>
    <row r="83" spans="1:19" ht="29.25">
      <c r="A83" s="1198" t="s">
        <v>1714</v>
      </c>
      <c r="B83" s="1198" t="s">
        <v>1697</v>
      </c>
      <c r="C83" s="1199" t="s">
        <v>1698</v>
      </c>
      <c r="D83" s="1199" t="s">
        <v>1699</v>
      </c>
      <c r="E83" s="1198" t="s">
        <v>1700</v>
      </c>
      <c r="F83" s="1199" t="s">
        <v>1701</v>
      </c>
      <c r="G83" s="1198" t="s">
        <v>1697</v>
      </c>
      <c r="H83" s="1199" t="s">
        <v>1698</v>
      </c>
      <c r="I83" s="1200" t="s">
        <v>1699</v>
      </c>
      <c r="K83" s="1198" t="s">
        <v>1714</v>
      </c>
      <c r="L83" s="1198" t="s">
        <v>1697</v>
      </c>
      <c r="M83" s="1199" t="s">
        <v>1698</v>
      </c>
      <c r="N83" s="1199" t="s">
        <v>1699</v>
      </c>
      <c r="O83" s="1198" t="s">
        <v>1700</v>
      </c>
      <c r="P83" s="1199" t="s">
        <v>1701</v>
      </c>
      <c r="Q83" s="1198" t="s">
        <v>1697</v>
      </c>
      <c r="R83" s="1199" t="s">
        <v>1698</v>
      </c>
      <c r="S83" s="1200" t="s">
        <v>1699</v>
      </c>
    </row>
    <row r="84" spans="1:19" ht="30">
      <c r="A84" s="1226" t="s">
        <v>12</v>
      </c>
      <c r="B84" s="1227">
        <v>0</v>
      </c>
      <c r="C84" s="1228">
        <v>0</v>
      </c>
      <c r="D84" s="1229">
        <v>0</v>
      </c>
      <c r="E84" s="1227">
        <v>71335.22</v>
      </c>
      <c r="F84" s="1230">
        <v>13870.71</v>
      </c>
      <c r="G84" s="1227">
        <v>71335.22</v>
      </c>
      <c r="H84" s="1228">
        <v>13870.71</v>
      </c>
      <c r="I84" s="1229">
        <v>57464.51</v>
      </c>
      <c r="K84" s="1212" t="s">
        <v>13</v>
      </c>
      <c r="L84" s="1231">
        <v>91879</v>
      </c>
      <c r="M84" s="1232">
        <v>64855.56</v>
      </c>
      <c r="N84" s="1233">
        <v>27023.439999999999</v>
      </c>
      <c r="O84" s="1231">
        <v>-91879</v>
      </c>
      <c r="P84" s="1234">
        <v>-64855.56</v>
      </c>
      <c r="Q84" s="1231">
        <v>0</v>
      </c>
      <c r="R84" s="1232">
        <v>0</v>
      </c>
      <c r="S84" s="1233">
        <v>0</v>
      </c>
    </row>
    <row r="85" spans="1:19" ht="45">
      <c r="A85" s="1226" t="s">
        <v>14</v>
      </c>
      <c r="B85" s="1227">
        <v>0</v>
      </c>
      <c r="C85" s="1228">
        <v>0</v>
      </c>
      <c r="D85" s="1229">
        <v>0</v>
      </c>
      <c r="E85" s="1227">
        <v>62381.65</v>
      </c>
      <c r="F85" s="1230">
        <v>7277.83</v>
      </c>
      <c r="G85" s="1227">
        <v>62381.65</v>
      </c>
      <c r="H85" s="1228">
        <v>7277.83</v>
      </c>
      <c r="I85" s="1229">
        <v>55103.82</v>
      </c>
      <c r="K85" s="1212" t="s">
        <v>15</v>
      </c>
      <c r="L85" s="1231">
        <v>26960</v>
      </c>
      <c r="M85" s="1232">
        <v>26960</v>
      </c>
      <c r="N85" s="1233">
        <v>0</v>
      </c>
      <c r="O85" s="1231">
        <v>-26960</v>
      </c>
      <c r="P85" s="1234">
        <v>-26960</v>
      </c>
      <c r="Q85" s="1231">
        <v>0</v>
      </c>
      <c r="R85" s="1232">
        <v>0</v>
      </c>
      <c r="S85" s="1233">
        <v>0</v>
      </c>
    </row>
    <row r="86" spans="1:19" ht="45">
      <c r="A86" s="1226" t="s">
        <v>16</v>
      </c>
      <c r="B86" s="1227">
        <v>11085</v>
      </c>
      <c r="C86" s="1228">
        <v>1293.32</v>
      </c>
      <c r="D86" s="1229">
        <v>9791.68</v>
      </c>
      <c r="E86" s="1227">
        <v>372</v>
      </c>
      <c r="F86" s="1230">
        <v>571.33000000000004</v>
      </c>
      <c r="G86" s="1227">
        <v>11457</v>
      </c>
      <c r="H86" s="1228">
        <v>1864.65</v>
      </c>
      <c r="I86" s="1229">
        <v>9592.35</v>
      </c>
      <c r="K86" s="1212" t="s">
        <v>17</v>
      </c>
      <c r="L86" s="1231">
        <v>23552.15</v>
      </c>
      <c r="M86" s="1232">
        <v>12199.68</v>
      </c>
      <c r="N86" s="1233">
        <v>11352.47</v>
      </c>
      <c r="O86" s="1231">
        <v>-23552.15</v>
      </c>
      <c r="P86" s="1234">
        <v>-12199.68</v>
      </c>
      <c r="Q86" s="1231">
        <v>0</v>
      </c>
      <c r="R86" s="1232">
        <v>0</v>
      </c>
      <c r="S86" s="1233">
        <v>0</v>
      </c>
    </row>
    <row r="87" spans="1:19" ht="30">
      <c r="A87" s="1226" t="s">
        <v>18</v>
      </c>
      <c r="B87" s="1227">
        <v>1247278.6299999999</v>
      </c>
      <c r="C87" s="1228">
        <v>12014.31</v>
      </c>
      <c r="D87" s="1229">
        <v>1235264.32</v>
      </c>
      <c r="E87" s="1227">
        <v>74500</v>
      </c>
      <c r="F87" s="1230">
        <v>66017.45</v>
      </c>
      <c r="G87" s="1227">
        <v>1321778.6299999999</v>
      </c>
      <c r="H87" s="1228">
        <v>78031.759999999995</v>
      </c>
      <c r="I87" s="1229">
        <v>1243746.8700000001</v>
      </c>
      <c r="K87" s="1212" t="s">
        <v>19</v>
      </c>
      <c r="L87" s="1231">
        <v>17058.900000000001</v>
      </c>
      <c r="M87" s="1232">
        <v>17058.900000000001</v>
      </c>
      <c r="N87" s="1233">
        <v>0</v>
      </c>
      <c r="O87" s="1231">
        <v>-17058.900000000001</v>
      </c>
      <c r="P87" s="1234">
        <v>-17058.900000000001</v>
      </c>
      <c r="Q87" s="1231">
        <v>0</v>
      </c>
      <c r="R87" s="1232">
        <v>0</v>
      </c>
      <c r="S87" s="1233">
        <v>0</v>
      </c>
    </row>
    <row r="88" spans="1:19" ht="45">
      <c r="A88" s="1226" t="s">
        <v>20</v>
      </c>
      <c r="B88" s="1227">
        <v>1247278.6299999999</v>
      </c>
      <c r="C88" s="1228">
        <v>12014.31</v>
      </c>
      <c r="D88" s="1229">
        <v>1235264.32</v>
      </c>
      <c r="E88" s="1227">
        <v>74500</v>
      </c>
      <c r="F88" s="1230">
        <v>66017.45</v>
      </c>
      <c r="G88" s="1227">
        <v>1321778.6299999999</v>
      </c>
      <c r="H88" s="1228">
        <v>78031.759999999995</v>
      </c>
      <c r="I88" s="1229">
        <v>1243746.8700000001</v>
      </c>
      <c r="K88" s="1212" t="s">
        <v>21</v>
      </c>
      <c r="L88" s="1231">
        <v>313140</v>
      </c>
      <c r="M88" s="1232">
        <v>221040.12</v>
      </c>
      <c r="N88" s="1233">
        <v>92099.88</v>
      </c>
      <c r="O88" s="1231">
        <v>-313140</v>
      </c>
      <c r="P88" s="1234">
        <v>-221040.12</v>
      </c>
      <c r="Q88" s="1231">
        <v>0</v>
      </c>
      <c r="R88" s="1232">
        <v>0</v>
      </c>
      <c r="S88" s="1233">
        <v>0</v>
      </c>
    </row>
    <row r="89" spans="1:19" ht="45">
      <c r="A89" s="1226" t="s">
        <v>22</v>
      </c>
      <c r="B89" s="1227">
        <v>0</v>
      </c>
      <c r="C89" s="1228">
        <v>0</v>
      </c>
      <c r="D89" s="1229">
        <v>0</v>
      </c>
      <c r="E89" s="1227">
        <v>63508.47</v>
      </c>
      <c r="F89" s="1230">
        <v>6804.45</v>
      </c>
      <c r="G89" s="1227">
        <v>63508.47</v>
      </c>
      <c r="H89" s="1228">
        <v>6804.45</v>
      </c>
      <c r="I89" s="1229">
        <v>56704.02</v>
      </c>
      <c r="K89" s="1212" t="s">
        <v>23</v>
      </c>
      <c r="L89" s="1231">
        <v>214679</v>
      </c>
      <c r="M89" s="1232">
        <v>151538.51999999999</v>
      </c>
      <c r="N89" s="1233">
        <v>63140.480000000003</v>
      </c>
      <c r="O89" s="1231">
        <v>-214679</v>
      </c>
      <c r="P89" s="1234">
        <v>-151538.51999999999</v>
      </c>
      <c r="Q89" s="1231">
        <v>0</v>
      </c>
      <c r="R89" s="1232">
        <v>0</v>
      </c>
      <c r="S89" s="1233">
        <v>0</v>
      </c>
    </row>
    <row r="90" spans="1:19" ht="30">
      <c r="A90" s="1226" t="s">
        <v>24</v>
      </c>
      <c r="B90" s="1227">
        <v>0</v>
      </c>
      <c r="C90" s="1228">
        <v>0</v>
      </c>
      <c r="D90" s="1229">
        <v>0</v>
      </c>
      <c r="E90" s="1227">
        <v>2441882.4900000002</v>
      </c>
      <c r="F90" s="1230">
        <v>0</v>
      </c>
      <c r="G90" s="1227">
        <v>2441882.4900000002</v>
      </c>
      <c r="H90" s="1228">
        <v>0</v>
      </c>
      <c r="I90" s="1229">
        <v>2441882.4900000002</v>
      </c>
      <c r="K90" s="1212" t="s">
        <v>25</v>
      </c>
      <c r="L90" s="1231">
        <v>22081</v>
      </c>
      <c r="M90" s="1232">
        <v>0</v>
      </c>
      <c r="N90" s="1233">
        <v>22081</v>
      </c>
      <c r="O90" s="1231">
        <v>-22081</v>
      </c>
      <c r="P90" s="1234">
        <v>0</v>
      </c>
      <c r="Q90" s="1231">
        <v>0</v>
      </c>
      <c r="R90" s="1232">
        <v>0</v>
      </c>
      <c r="S90" s="1233">
        <v>0</v>
      </c>
    </row>
    <row r="91" spans="1:19">
      <c r="A91" s="1226" t="s">
        <v>26</v>
      </c>
      <c r="B91" s="1227">
        <v>0</v>
      </c>
      <c r="C91" s="1228">
        <v>0</v>
      </c>
      <c r="D91" s="1229">
        <v>0</v>
      </c>
      <c r="E91" s="1227">
        <v>55677.97</v>
      </c>
      <c r="F91" s="1230">
        <v>3866.55</v>
      </c>
      <c r="G91" s="1227">
        <v>55677.97</v>
      </c>
      <c r="H91" s="1228">
        <v>3866.55</v>
      </c>
      <c r="I91" s="1229">
        <v>51811.42</v>
      </c>
    </row>
    <row r="92" spans="1:19" ht="30">
      <c r="A92" s="1226" t="s">
        <v>27</v>
      </c>
      <c r="B92" s="1227">
        <v>0</v>
      </c>
      <c r="C92" s="1228">
        <v>0</v>
      </c>
      <c r="D92" s="1229">
        <v>0</v>
      </c>
      <c r="E92" s="1227">
        <v>75786.27</v>
      </c>
      <c r="F92" s="1230">
        <v>9022.2000000000007</v>
      </c>
      <c r="G92" s="1227">
        <v>75786.27</v>
      </c>
      <c r="H92" s="1228">
        <v>9022.2000000000007</v>
      </c>
      <c r="I92" s="1229">
        <v>66764.070000000007</v>
      </c>
    </row>
    <row r="93" spans="1:19" ht="30">
      <c r="A93" s="1226" t="s">
        <v>28</v>
      </c>
      <c r="B93" s="1227">
        <v>0</v>
      </c>
      <c r="C93" s="1228">
        <v>0</v>
      </c>
      <c r="D93" s="1229">
        <v>0</v>
      </c>
      <c r="E93" s="1227">
        <v>45966.1</v>
      </c>
      <c r="F93" s="1230">
        <v>2553.6799999999998</v>
      </c>
      <c r="G93" s="1227">
        <v>45966.1</v>
      </c>
      <c r="H93" s="1228">
        <v>2553.6799999999998</v>
      </c>
      <c r="I93" s="1229">
        <v>43412.42</v>
      </c>
    </row>
    <row r="94" spans="1:19" ht="30">
      <c r="A94" s="1226" t="s">
        <v>29</v>
      </c>
      <c r="B94" s="1227">
        <v>0</v>
      </c>
      <c r="C94" s="1228">
        <v>0</v>
      </c>
      <c r="D94" s="1229">
        <v>0</v>
      </c>
      <c r="E94" s="1227">
        <v>39152.54</v>
      </c>
      <c r="F94" s="1230">
        <v>16313.6</v>
      </c>
      <c r="G94" s="1227">
        <v>39152.54</v>
      </c>
      <c r="H94" s="1228">
        <v>16313.6</v>
      </c>
      <c r="I94" s="1229">
        <v>22838.94</v>
      </c>
    </row>
    <row r="95" spans="1:19" ht="30">
      <c r="A95" s="1226" t="s">
        <v>30</v>
      </c>
      <c r="B95" s="1227">
        <v>0</v>
      </c>
      <c r="C95" s="1228">
        <v>0</v>
      </c>
      <c r="D95" s="1229">
        <v>0</v>
      </c>
      <c r="E95" s="1227">
        <v>154978.10999999999</v>
      </c>
      <c r="F95" s="1230">
        <v>20663.759999999998</v>
      </c>
      <c r="G95" s="1227">
        <v>154978.10999999999</v>
      </c>
      <c r="H95" s="1228">
        <v>20663.759999999998</v>
      </c>
      <c r="I95" s="1229">
        <v>134314.35</v>
      </c>
    </row>
    <row r="96" spans="1:19" ht="30">
      <c r="A96" s="1226" t="s">
        <v>31</v>
      </c>
      <c r="B96" s="1227">
        <v>0</v>
      </c>
      <c r="C96" s="1228">
        <v>0</v>
      </c>
      <c r="D96" s="1229">
        <v>0</v>
      </c>
      <c r="E96" s="1227">
        <v>96970.53</v>
      </c>
      <c r="F96" s="1230">
        <v>12929.44</v>
      </c>
      <c r="G96" s="1227">
        <v>96970.53</v>
      </c>
      <c r="H96" s="1228">
        <v>12929.44</v>
      </c>
      <c r="I96" s="1229">
        <v>84041.09</v>
      </c>
    </row>
    <row r="97" spans="1:9" ht="30">
      <c r="A97" s="1226" t="s">
        <v>32</v>
      </c>
      <c r="B97" s="1227">
        <v>0</v>
      </c>
      <c r="C97" s="1228">
        <v>0</v>
      </c>
      <c r="D97" s="1229">
        <v>0</v>
      </c>
      <c r="E97" s="1227">
        <v>3359312.35</v>
      </c>
      <c r="F97" s="1230">
        <v>0</v>
      </c>
      <c r="G97" s="1227">
        <v>3359312.35</v>
      </c>
      <c r="H97" s="1228">
        <v>0</v>
      </c>
      <c r="I97" s="1229">
        <v>3359312.35</v>
      </c>
    </row>
    <row r="98" spans="1:9" ht="30">
      <c r="A98" s="1226" t="s">
        <v>33</v>
      </c>
      <c r="B98" s="1227">
        <v>0</v>
      </c>
      <c r="C98" s="1228">
        <v>0</v>
      </c>
      <c r="D98" s="1229">
        <v>0</v>
      </c>
      <c r="E98" s="1227">
        <v>88889.83</v>
      </c>
      <c r="F98" s="1230">
        <v>4938.32</v>
      </c>
      <c r="G98" s="1227">
        <v>88889.83</v>
      </c>
      <c r="H98" s="1228">
        <v>4938.32</v>
      </c>
      <c r="I98" s="1229">
        <v>83951.51</v>
      </c>
    </row>
    <row r="99" spans="1:9" ht="30">
      <c r="A99" s="1226" t="s">
        <v>34</v>
      </c>
      <c r="B99" s="1227">
        <v>0</v>
      </c>
      <c r="C99" s="1228">
        <v>0</v>
      </c>
      <c r="D99" s="1229">
        <v>0</v>
      </c>
      <c r="E99" s="1227">
        <v>3854270.43</v>
      </c>
      <c r="F99" s="1230">
        <v>287312.38</v>
      </c>
      <c r="G99" s="1227">
        <v>3854270.43</v>
      </c>
      <c r="H99" s="1228">
        <v>287312.38</v>
      </c>
      <c r="I99" s="1229">
        <v>3566958.05</v>
      </c>
    </row>
    <row r="100" spans="1:9" ht="30">
      <c r="A100" s="1226" t="s">
        <v>35</v>
      </c>
      <c r="B100" s="1227">
        <v>0</v>
      </c>
      <c r="C100" s="1228">
        <v>0</v>
      </c>
      <c r="D100" s="1229">
        <v>0</v>
      </c>
      <c r="E100" s="1227">
        <v>231000</v>
      </c>
      <c r="F100" s="1230">
        <v>8983.31</v>
      </c>
      <c r="G100" s="1227">
        <v>231000</v>
      </c>
      <c r="H100" s="1228">
        <v>8983.31</v>
      </c>
      <c r="I100" s="1229">
        <v>222016.69</v>
      </c>
    </row>
    <row r="101" spans="1:9" ht="30">
      <c r="A101" s="1226" t="s">
        <v>36</v>
      </c>
      <c r="B101" s="1227">
        <v>0</v>
      </c>
      <c r="C101" s="1228">
        <v>0</v>
      </c>
      <c r="D101" s="1229">
        <v>0</v>
      </c>
      <c r="E101" s="1227">
        <v>539610.24</v>
      </c>
      <c r="F101" s="1230">
        <v>25695.72</v>
      </c>
      <c r="G101" s="1227">
        <v>539610.24</v>
      </c>
      <c r="H101" s="1228">
        <v>25695.72</v>
      </c>
      <c r="I101" s="1229">
        <v>513914.52</v>
      </c>
    </row>
    <row r="102" spans="1:9" ht="30">
      <c r="A102" s="1226" t="s">
        <v>37</v>
      </c>
      <c r="B102" s="1227">
        <v>0</v>
      </c>
      <c r="C102" s="1228">
        <v>0</v>
      </c>
      <c r="D102" s="1229">
        <v>0</v>
      </c>
      <c r="E102" s="1227">
        <v>539610.24</v>
      </c>
      <c r="F102" s="1230">
        <v>25695.72</v>
      </c>
      <c r="G102" s="1227">
        <v>539610.24</v>
      </c>
      <c r="H102" s="1228">
        <v>25695.72</v>
      </c>
      <c r="I102" s="1229">
        <v>513914.52</v>
      </c>
    </row>
    <row r="103" spans="1:9">
      <c r="A103" s="1226" t="s">
        <v>38</v>
      </c>
      <c r="B103" s="1227">
        <v>0</v>
      </c>
      <c r="C103" s="1228">
        <v>0</v>
      </c>
      <c r="D103" s="1229">
        <v>0</v>
      </c>
      <c r="E103" s="1227">
        <v>577694.06999999995</v>
      </c>
      <c r="F103" s="1230">
        <v>25473.35</v>
      </c>
      <c r="G103" s="1227">
        <v>577694.06999999995</v>
      </c>
      <c r="H103" s="1228">
        <v>25473.35</v>
      </c>
      <c r="I103" s="1229">
        <v>552220.72</v>
      </c>
    </row>
    <row r="104" spans="1:9" ht="30">
      <c r="A104" s="1226" t="s">
        <v>39</v>
      </c>
      <c r="B104" s="1227">
        <v>0</v>
      </c>
      <c r="C104" s="1228">
        <v>0</v>
      </c>
      <c r="D104" s="1229">
        <v>0</v>
      </c>
      <c r="E104" s="1227">
        <v>661583</v>
      </c>
      <c r="F104" s="1230">
        <v>19296.2</v>
      </c>
      <c r="G104" s="1227">
        <v>661583</v>
      </c>
      <c r="H104" s="1228">
        <v>19296.2</v>
      </c>
      <c r="I104" s="1229">
        <v>642286.80000000005</v>
      </c>
    </row>
    <row r="105" spans="1:9" ht="45">
      <c r="A105" s="1226" t="s">
        <v>40</v>
      </c>
      <c r="B105" s="1227">
        <v>0</v>
      </c>
      <c r="C105" s="1228">
        <v>0</v>
      </c>
      <c r="D105" s="1229">
        <v>0</v>
      </c>
      <c r="E105" s="1227">
        <v>257407</v>
      </c>
      <c r="F105" s="1230">
        <v>10010.280000000001</v>
      </c>
      <c r="G105" s="1227">
        <v>257407</v>
      </c>
      <c r="H105" s="1228">
        <v>10010.280000000001</v>
      </c>
      <c r="I105" s="1229">
        <v>247396.72</v>
      </c>
    </row>
    <row r="106" spans="1:9" ht="30">
      <c r="A106" s="1226" t="s">
        <v>41</v>
      </c>
      <c r="B106" s="1227">
        <v>0</v>
      </c>
      <c r="C106" s="1228">
        <v>0</v>
      </c>
      <c r="D106" s="1229">
        <v>0</v>
      </c>
      <c r="E106" s="1227">
        <v>141525</v>
      </c>
      <c r="F106" s="1230">
        <v>15725</v>
      </c>
      <c r="G106" s="1227">
        <v>141525</v>
      </c>
      <c r="H106" s="1228">
        <v>15725</v>
      </c>
      <c r="I106" s="1229">
        <v>125800</v>
      </c>
    </row>
    <row r="107" spans="1:9" ht="30">
      <c r="A107" s="1226" t="s">
        <v>42</v>
      </c>
      <c r="B107" s="1227">
        <v>0</v>
      </c>
      <c r="C107" s="1228">
        <v>0</v>
      </c>
      <c r="D107" s="1229">
        <v>0</v>
      </c>
      <c r="E107" s="1227">
        <v>72378.559999999998</v>
      </c>
      <c r="F107" s="1230">
        <v>6031.56</v>
      </c>
      <c r="G107" s="1227">
        <v>72378.559999999998</v>
      </c>
      <c r="H107" s="1228">
        <v>6031.56</v>
      </c>
      <c r="I107" s="1229">
        <v>66347</v>
      </c>
    </row>
    <row r="108" spans="1:9" ht="30">
      <c r="A108" s="1226" t="s">
        <v>43</v>
      </c>
      <c r="B108" s="1227">
        <v>0</v>
      </c>
      <c r="C108" s="1228">
        <v>0</v>
      </c>
      <c r="D108" s="1229">
        <v>0</v>
      </c>
      <c r="E108" s="1227">
        <v>44525.42</v>
      </c>
      <c r="F108" s="1230">
        <v>927.62</v>
      </c>
      <c r="G108" s="1227">
        <v>44525.42</v>
      </c>
      <c r="H108" s="1228">
        <v>927.62</v>
      </c>
      <c r="I108" s="1229">
        <v>43597.8</v>
      </c>
    </row>
    <row r="109" spans="1:9" ht="30">
      <c r="A109" s="1226" t="s">
        <v>44</v>
      </c>
      <c r="B109" s="1227">
        <v>0</v>
      </c>
      <c r="C109" s="1228">
        <v>0</v>
      </c>
      <c r="D109" s="1229">
        <v>0</v>
      </c>
      <c r="E109" s="1227">
        <v>416503.37</v>
      </c>
      <c r="F109" s="1230">
        <v>11715.65</v>
      </c>
      <c r="G109" s="1227">
        <v>416503.37</v>
      </c>
      <c r="H109" s="1228">
        <v>11715.65</v>
      </c>
      <c r="I109" s="1229">
        <v>404787.72</v>
      </c>
    </row>
    <row r="110" spans="1:9" ht="30">
      <c r="A110" s="1226" t="s">
        <v>45</v>
      </c>
      <c r="B110" s="1227">
        <v>0</v>
      </c>
      <c r="C110" s="1228">
        <v>0</v>
      </c>
      <c r="D110" s="1229">
        <v>0</v>
      </c>
      <c r="E110" s="1227">
        <v>416503.37</v>
      </c>
      <c r="F110" s="1230">
        <v>11715.65</v>
      </c>
      <c r="G110" s="1227">
        <v>416503.37</v>
      </c>
      <c r="H110" s="1228">
        <v>11715.65</v>
      </c>
      <c r="I110" s="1229">
        <v>404787.72</v>
      </c>
    </row>
    <row r="111" spans="1:9" ht="30">
      <c r="A111" s="1226" t="s">
        <v>46</v>
      </c>
      <c r="B111" s="1227">
        <v>258942.23</v>
      </c>
      <c r="C111" s="1228">
        <v>99261.33</v>
      </c>
      <c r="D111" s="1229">
        <v>159680.9</v>
      </c>
      <c r="E111" s="1227">
        <v>344600</v>
      </c>
      <c r="F111" s="1230">
        <v>10069.99</v>
      </c>
      <c r="G111" s="1227">
        <v>603542.23</v>
      </c>
      <c r="H111" s="1228">
        <v>109331.32</v>
      </c>
      <c r="I111" s="1229">
        <v>494210.91</v>
      </c>
    </row>
    <row r="112" spans="1:9" ht="30">
      <c r="A112" s="1226" t="s">
        <v>47</v>
      </c>
      <c r="B112" s="1227">
        <v>263536.51</v>
      </c>
      <c r="C112" s="1228">
        <v>101022.21</v>
      </c>
      <c r="D112" s="1229">
        <v>162514.29999999999</v>
      </c>
      <c r="E112" s="1227">
        <v>344600</v>
      </c>
      <c r="F112" s="1230">
        <v>10248.629999999999</v>
      </c>
      <c r="G112" s="1227">
        <v>608136.51</v>
      </c>
      <c r="H112" s="1228">
        <v>111270.84</v>
      </c>
      <c r="I112" s="1229">
        <v>496865.67</v>
      </c>
    </row>
    <row r="114" spans="1:19" ht="18">
      <c r="A114" s="1209" t="s">
        <v>1459</v>
      </c>
      <c r="B114" s="1235"/>
      <c r="C114" s="1235"/>
      <c r="D114" s="1235"/>
      <c r="E114" s="1235"/>
      <c r="F114" s="1235"/>
      <c r="G114" s="1235"/>
      <c r="H114" s="1235"/>
      <c r="I114" s="1235"/>
      <c r="J114" s="242"/>
      <c r="K114" s="1236" t="s">
        <v>1459</v>
      </c>
      <c r="L114" s="1235"/>
      <c r="M114" s="1235"/>
      <c r="N114" s="1235"/>
      <c r="O114" s="1235"/>
      <c r="P114" s="1235"/>
      <c r="Q114" s="1235"/>
      <c r="R114" s="1235"/>
      <c r="S114" s="1235"/>
    </row>
    <row r="115" spans="1:19" ht="15.75">
      <c r="A115" s="1193" t="s">
        <v>10</v>
      </c>
      <c r="B115" s="1237"/>
      <c r="C115" s="1237"/>
      <c r="D115" s="1237"/>
      <c r="E115" s="1237"/>
      <c r="F115" s="1237"/>
      <c r="G115" s="1237"/>
      <c r="H115" s="1237"/>
      <c r="I115" s="1237"/>
      <c r="J115" s="242"/>
      <c r="K115" s="1238" t="s">
        <v>1711</v>
      </c>
      <c r="L115" s="1237"/>
      <c r="M115" s="1237"/>
      <c r="N115" s="1237"/>
      <c r="O115" s="1237"/>
      <c r="P115" s="1237"/>
      <c r="Q115" s="1237"/>
      <c r="R115" s="1237"/>
      <c r="S115" s="1237"/>
    </row>
    <row r="116" spans="1:19" ht="15.75">
      <c r="A116" s="1193" t="s">
        <v>48</v>
      </c>
      <c r="B116" s="1237"/>
      <c r="C116" s="1237"/>
      <c r="D116" s="1237"/>
      <c r="E116" s="1237"/>
      <c r="F116" s="1237"/>
      <c r="G116" s="1237"/>
      <c r="H116" s="1237"/>
      <c r="I116" s="1237"/>
      <c r="J116" s="242"/>
      <c r="K116" s="1238" t="s">
        <v>1704</v>
      </c>
      <c r="L116" s="1237"/>
      <c r="M116" s="1237"/>
      <c r="N116" s="1237"/>
      <c r="O116" s="1237"/>
      <c r="P116" s="1237"/>
      <c r="Q116" s="1237"/>
      <c r="R116" s="1237"/>
      <c r="S116" s="1237"/>
    </row>
    <row r="117" spans="1:19">
      <c r="B117" s="242"/>
      <c r="C117" s="242"/>
      <c r="D117" s="242"/>
      <c r="E117" s="242"/>
      <c r="F117" s="242"/>
      <c r="G117" s="242"/>
      <c r="H117" s="242"/>
      <c r="I117" s="242"/>
      <c r="J117" s="242"/>
      <c r="K117" s="242"/>
      <c r="L117" s="242"/>
      <c r="M117" s="242"/>
      <c r="N117" s="242"/>
      <c r="O117" s="242"/>
      <c r="P117" s="242"/>
      <c r="Q117" s="242"/>
      <c r="R117" s="242"/>
      <c r="S117" s="242"/>
    </row>
    <row r="118" spans="1:19">
      <c r="A118" s="1222" t="s">
        <v>1713</v>
      </c>
      <c r="B118" s="1239" t="s">
        <v>1694</v>
      </c>
      <c r="C118" s="1239"/>
      <c r="D118" s="1239"/>
      <c r="E118" s="1239" t="s">
        <v>1695</v>
      </c>
      <c r="F118" s="1239"/>
      <c r="G118" s="1239" t="s">
        <v>1696</v>
      </c>
      <c r="H118" s="1239"/>
      <c r="I118" s="1239"/>
      <c r="J118" s="242"/>
      <c r="K118" s="1240" t="s">
        <v>1713</v>
      </c>
      <c r="L118" s="1239" t="s">
        <v>1694</v>
      </c>
      <c r="M118" s="1239"/>
      <c r="N118" s="1239"/>
      <c r="O118" s="1239" t="s">
        <v>1695</v>
      </c>
      <c r="P118" s="1239"/>
      <c r="Q118" s="1239" t="s">
        <v>1696</v>
      </c>
      <c r="R118" s="1239"/>
      <c r="S118" s="1239"/>
    </row>
    <row r="119" spans="1:19" ht="29.25">
      <c r="A119" s="1206" t="s">
        <v>1714</v>
      </c>
      <c r="B119" s="1241" t="s">
        <v>1697</v>
      </c>
      <c r="C119" s="1241" t="s">
        <v>1698</v>
      </c>
      <c r="D119" s="1241" t="s">
        <v>1699</v>
      </c>
      <c r="E119" s="1241" t="s">
        <v>1700</v>
      </c>
      <c r="F119" s="1241" t="s">
        <v>1701</v>
      </c>
      <c r="G119" s="1241" t="s">
        <v>1697</v>
      </c>
      <c r="H119" s="1241" t="s">
        <v>1698</v>
      </c>
      <c r="I119" s="1241" t="s">
        <v>1699</v>
      </c>
      <c r="J119" s="242"/>
      <c r="K119" s="1241" t="s">
        <v>1714</v>
      </c>
      <c r="L119" s="1241" t="s">
        <v>1697</v>
      </c>
      <c r="M119" s="1241" t="s">
        <v>1698</v>
      </c>
      <c r="N119" s="1241" t="s">
        <v>1699</v>
      </c>
      <c r="O119" s="1241" t="s">
        <v>1700</v>
      </c>
      <c r="P119" s="1241" t="s">
        <v>1701</v>
      </c>
      <c r="Q119" s="1241" t="s">
        <v>1697</v>
      </c>
      <c r="R119" s="1241" t="s">
        <v>1698</v>
      </c>
      <c r="S119" s="1241" t="s">
        <v>1699</v>
      </c>
    </row>
    <row r="120" spans="1:19" ht="45">
      <c r="A120" s="1225" t="s">
        <v>49</v>
      </c>
      <c r="B120" s="1218">
        <v>0</v>
      </c>
      <c r="C120" s="1218">
        <v>0</v>
      </c>
      <c r="D120" s="1218">
        <v>0</v>
      </c>
      <c r="E120" s="1218">
        <v>282457.63</v>
      </c>
      <c r="F120" s="1218">
        <v>35307.18</v>
      </c>
      <c r="G120" s="1218">
        <v>282457.63</v>
      </c>
      <c r="H120" s="1218">
        <v>35307.18</v>
      </c>
      <c r="I120" s="1218">
        <v>247150.45</v>
      </c>
      <c r="J120" s="242"/>
      <c r="K120" s="1242" t="s">
        <v>50</v>
      </c>
      <c r="L120" s="1218">
        <v>287711.87</v>
      </c>
      <c r="M120" s="1218">
        <v>191808</v>
      </c>
      <c r="N120" s="1218">
        <v>95903.87</v>
      </c>
      <c r="O120" s="1218">
        <v>-287711.87</v>
      </c>
      <c r="P120" s="1218">
        <v>-191808</v>
      </c>
      <c r="Q120" s="1218">
        <v>0</v>
      </c>
      <c r="R120" s="1218">
        <v>0</v>
      </c>
      <c r="S120" s="1218">
        <v>0</v>
      </c>
    </row>
    <row r="121" spans="1:19" ht="30">
      <c r="A121" s="1225" t="s">
        <v>51</v>
      </c>
      <c r="B121" s="1218">
        <v>0</v>
      </c>
      <c r="C121" s="1218">
        <v>0</v>
      </c>
      <c r="D121" s="1218">
        <v>0</v>
      </c>
      <c r="E121" s="1218">
        <v>59322.03</v>
      </c>
      <c r="F121" s="1218">
        <v>12976.67</v>
      </c>
      <c r="G121" s="1218">
        <v>59322.03</v>
      </c>
      <c r="H121" s="1218">
        <v>12976.67</v>
      </c>
      <c r="I121" s="1218">
        <v>46345.36</v>
      </c>
      <c r="J121" s="242"/>
      <c r="K121" s="1242" t="s">
        <v>52</v>
      </c>
      <c r="L121" s="1218">
        <v>214389</v>
      </c>
      <c r="M121" s="1218">
        <v>214389</v>
      </c>
      <c r="N121" s="1218">
        <v>0</v>
      </c>
      <c r="O121" s="1218">
        <v>-214389</v>
      </c>
      <c r="P121" s="1218">
        <v>-214389</v>
      </c>
      <c r="Q121" s="1218">
        <v>0</v>
      </c>
      <c r="R121" s="1218">
        <v>0</v>
      </c>
      <c r="S121" s="1218">
        <v>0</v>
      </c>
    </row>
    <row r="122" spans="1:19" ht="45">
      <c r="A122" s="1225" t="s">
        <v>53</v>
      </c>
      <c r="B122" s="1218">
        <v>0</v>
      </c>
      <c r="C122" s="1218">
        <v>0</v>
      </c>
      <c r="D122" s="1218">
        <v>0</v>
      </c>
      <c r="E122" s="1218">
        <v>12473876.039999999</v>
      </c>
      <c r="F122" s="1218">
        <v>1030898.8</v>
      </c>
      <c r="G122" s="1218">
        <v>12473876.039999999</v>
      </c>
      <c r="H122" s="1218">
        <v>1030898.8</v>
      </c>
      <c r="I122" s="1218">
        <v>11442977.24</v>
      </c>
      <c r="J122" s="242"/>
      <c r="K122" s="1242" t="s">
        <v>54</v>
      </c>
      <c r="L122" s="1218">
        <v>130499.79</v>
      </c>
      <c r="M122" s="1218">
        <v>130499.79</v>
      </c>
      <c r="N122" s="1218">
        <v>0</v>
      </c>
      <c r="O122" s="1218">
        <v>-130499.79</v>
      </c>
      <c r="P122" s="1218">
        <v>-130499.79</v>
      </c>
      <c r="Q122" s="1218">
        <v>0</v>
      </c>
      <c r="R122" s="1218">
        <v>0</v>
      </c>
      <c r="S122" s="1218">
        <v>0</v>
      </c>
    </row>
    <row r="123" spans="1:19" ht="30">
      <c r="A123" s="1225" t="s">
        <v>55</v>
      </c>
      <c r="B123" s="1218">
        <v>0</v>
      </c>
      <c r="C123" s="1218">
        <v>0</v>
      </c>
      <c r="D123" s="1218">
        <v>0</v>
      </c>
      <c r="E123" s="1218">
        <v>89629.22</v>
      </c>
      <c r="F123" s="1218">
        <v>9958.7999999999993</v>
      </c>
      <c r="G123" s="1218">
        <v>89629.22</v>
      </c>
      <c r="H123" s="1218">
        <v>9958.7999999999993</v>
      </c>
      <c r="I123" s="1218">
        <v>79670.42</v>
      </c>
      <c r="J123" s="242"/>
      <c r="K123" s="1242" t="s">
        <v>56</v>
      </c>
      <c r="L123" s="1218">
        <v>25539</v>
      </c>
      <c r="M123" s="1218">
        <v>25539</v>
      </c>
      <c r="N123" s="1218">
        <v>0</v>
      </c>
      <c r="O123" s="1218">
        <v>-25539</v>
      </c>
      <c r="P123" s="1218">
        <v>-25539</v>
      </c>
      <c r="Q123" s="1218">
        <v>0</v>
      </c>
      <c r="R123" s="1218">
        <v>0</v>
      </c>
      <c r="S123" s="1218">
        <v>0</v>
      </c>
    </row>
    <row r="124" spans="1:19" ht="30">
      <c r="A124" s="1225" t="s">
        <v>57</v>
      </c>
      <c r="B124" s="1218">
        <v>0</v>
      </c>
      <c r="C124" s="1218">
        <v>0</v>
      </c>
      <c r="D124" s="1218">
        <v>0</v>
      </c>
      <c r="E124" s="1218">
        <v>101466.1</v>
      </c>
      <c r="F124" s="1218">
        <v>16911</v>
      </c>
      <c r="G124" s="1218">
        <v>101466.1</v>
      </c>
      <c r="H124" s="1218">
        <v>16911</v>
      </c>
      <c r="I124" s="1218">
        <v>84555.1</v>
      </c>
      <c r="J124" s="242"/>
      <c r="K124" s="1242" t="s">
        <v>58</v>
      </c>
      <c r="L124" s="1218">
        <v>24293.22</v>
      </c>
      <c r="M124" s="1218">
        <v>24293.22</v>
      </c>
      <c r="N124" s="1218">
        <v>0</v>
      </c>
      <c r="O124" s="1218">
        <v>-24293.22</v>
      </c>
      <c r="P124" s="1218">
        <v>-24293.22</v>
      </c>
      <c r="Q124" s="1218">
        <v>0</v>
      </c>
      <c r="R124" s="1218">
        <v>0</v>
      </c>
      <c r="S124" s="1218">
        <v>0</v>
      </c>
    </row>
    <row r="125" spans="1:19" ht="30">
      <c r="A125" s="1225" t="s">
        <v>59</v>
      </c>
      <c r="B125" s="1218">
        <v>407768</v>
      </c>
      <c r="C125" s="1218">
        <v>407768</v>
      </c>
      <c r="D125" s="1218">
        <v>0</v>
      </c>
      <c r="E125" s="1218">
        <v>660949.41</v>
      </c>
      <c r="F125" s="1218">
        <v>0</v>
      </c>
      <c r="G125" s="1218">
        <v>1068717.4099999999</v>
      </c>
      <c r="H125" s="1218">
        <v>407768</v>
      </c>
      <c r="I125" s="1218">
        <v>660949.41</v>
      </c>
      <c r="J125" s="242"/>
      <c r="K125" s="1242" t="s">
        <v>60</v>
      </c>
      <c r="L125" s="1218">
        <v>21661.02</v>
      </c>
      <c r="M125" s="1218">
        <v>16977.47</v>
      </c>
      <c r="N125" s="1218">
        <v>4683.55</v>
      </c>
      <c r="O125" s="1218">
        <v>-21661.02</v>
      </c>
      <c r="P125" s="1218">
        <v>-16977.47</v>
      </c>
      <c r="Q125" s="1218">
        <v>0</v>
      </c>
      <c r="R125" s="1218">
        <v>0</v>
      </c>
      <c r="S125" s="1218">
        <v>0</v>
      </c>
    </row>
    <row r="126" spans="1:19" ht="45">
      <c r="A126" s="1225" t="s">
        <v>61</v>
      </c>
      <c r="B126" s="1218">
        <v>16854</v>
      </c>
      <c r="C126" s="1218">
        <v>16854</v>
      </c>
      <c r="D126" s="1218">
        <v>0</v>
      </c>
      <c r="E126" s="1218">
        <v>3359869.39</v>
      </c>
      <c r="F126" s="1218">
        <v>0</v>
      </c>
      <c r="G126" s="1218">
        <v>3376723.39</v>
      </c>
      <c r="H126" s="1218">
        <v>16854</v>
      </c>
      <c r="I126" s="1218">
        <v>3359869.39</v>
      </c>
      <c r="J126" s="242"/>
      <c r="K126" s="1242" t="s">
        <v>62</v>
      </c>
      <c r="L126" s="1218">
        <v>15266.95</v>
      </c>
      <c r="M126" s="1218">
        <v>15266.95</v>
      </c>
      <c r="N126" s="1218">
        <v>0</v>
      </c>
      <c r="O126" s="1218">
        <v>-15266.95</v>
      </c>
      <c r="P126" s="1218">
        <v>-15266.95</v>
      </c>
      <c r="Q126" s="1218">
        <v>0</v>
      </c>
      <c r="R126" s="1218">
        <v>0</v>
      </c>
      <c r="S126" s="1218">
        <v>0</v>
      </c>
    </row>
    <row r="127" spans="1:19" ht="30">
      <c r="A127" s="1225" t="s">
        <v>63</v>
      </c>
      <c r="B127" s="1218">
        <v>16854</v>
      </c>
      <c r="C127" s="1218">
        <v>16854</v>
      </c>
      <c r="D127" s="1218">
        <v>0</v>
      </c>
      <c r="E127" s="1218">
        <v>3359677.07</v>
      </c>
      <c r="F127" s="1218">
        <v>0</v>
      </c>
      <c r="G127" s="1218">
        <v>3376531.07</v>
      </c>
      <c r="H127" s="1218">
        <v>16854</v>
      </c>
      <c r="I127" s="1218">
        <v>3359677.07</v>
      </c>
      <c r="J127" s="242"/>
      <c r="K127" s="1242" t="s">
        <v>64</v>
      </c>
      <c r="L127" s="1218">
        <v>14484.59</v>
      </c>
      <c r="M127" s="1218">
        <v>14484.59</v>
      </c>
      <c r="N127" s="1218">
        <v>0</v>
      </c>
      <c r="O127" s="1218">
        <v>-14484.59</v>
      </c>
      <c r="P127" s="1218">
        <v>-14484.59</v>
      </c>
      <c r="Q127" s="1218">
        <v>0</v>
      </c>
      <c r="R127" s="1218">
        <v>0</v>
      </c>
      <c r="S127" s="1218">
        <v>0</v>
      </c>
    </row>
    <row r="128" spans="1:19" ht="45">
      <c r="A128" s="1225" t="s">
        <v>65</v>
      </c>
      <c r="B128" s="1218">
        <v>0</v>
      </c>
      <c r="C128" s="1218">
        <v>0</v>
      </c>
      <c r="D128" s="1218">
        <v>0</v>
      </c>
      <c r="E128" s="1218">
        <v>162290.75</v>
      </c>
      <c r="F128" s="1218">
        <v>6706.25</v>
      </c>
      <c r="G128" s="1218">
        <v>162290.75</v>
      </c>
      <c r="H128" s="1218">
        <v>6706.25</v>
      </c>
      <c r="I128" s="1218">
        <v>155584.5</v>
      </c>
      <c r="J128" s="242"/>
      <c r="K128" s="1242" t="s">
        <v>66</v>
      </c>
      <c r="L128" s="1218">
        <v>13542.37</v>
      </c>
      <c r="M128" s="1218">
        <v>13542.37</v>
      </c>
      <c r="N128" s="1218">
        <v>0</v>
      </c>
      <c r="O128" s="1218">
        <v>-13542.37</v>
      </c>
      <c r="P128" s="1218">
        <v>-13542.37</v>
      </c>
      <c r="Q128" s="1218">
        <v>0</v>
      </c>
      <c r="R128" s="1218">
        <v>0</v>
      </c>
      <c r="S128" s="1218">
        <v>0</v>
      </c>
    </row>
    <row r="129" spans="1:19" ht="45">
      <c r="A129" s="1225" t="s">
        <v>67</v>
      </c>
      <c r="B129" s="1218">
        <v>0</v>
      </c>
      <c r="C129" s="1218">
        <v>0</v>
      </c>
      <c r="D129" s="1218">
        <v>0</v>
      </c>
      <c r="E129" s="1218">
        <v>162290.75</v>
      </c>
      <c r="F129" s="1218">
        <v>6706.25</v>
      </c>
      <c r="G129" s="1218">
        <v>162290.75</v>
      </c>
      <c r="H129" s="1218">
        <v>6706.25</v>
      </c>
      <c r="I129" s="1218">
        <v>155584.5</v>
      </c>
      <c r="J129" s="242"/>
      <c r="K129" s="1242" t="s">
        <v>68</v>
      </c>
      <c r="L129" s="1218">
        <v>12798.47</v>
      </c>
      <c r="M129" s="1218">
        <v>12798.47</v>
      </c>
      <c r="N129" s="1218">
        <v>0</v>
      </c>
      <c r="O129" s="1218">
        <v>-12798.47</v>
      </c>
      <c r="P129" s="1218">
        <v>-12798.47</v>
      </c>
      <c r="Q129" s="1218">
        <v>0</v>
      </c>
      <c r="R129" s="1218">
        <v>0</v>
      </c>
      <c r="S129" s="1218">
        <v>0</v>
      </c>
    </row>
    <row r="130" spans="1:19" ht="45">
      <c r="A130" s="1225" t="s">
        <v>69</v>
      </c>
      <c r="B130" s="1218">
        <v>0</v>
      </c>
      <c r="C130" s="1218">
        <v>0</v>
      </c>
      <c r="D130" s="1218">
        <v>0</v>
      </c>
      <c r="E130" s="1218">
        <v>436440.68</v>
      </c>
      <c r="F130" s="1218">
        <v>0</v>
      </c>
      <c r="G130" s="1218">
        <v>436440.68</v>
      </c>
      <c r="H130" s="1218">
        <v>0</v>
      </c>
      <c r="I130" s="1218">
        <v>436440.68</v>
      </c>
      <c r="J130" s="242"/>
      <c r="K130" s="1242" t="s">
        <v>70</v>
      </c>
      <c r="L130" s="1218">
        <v>12750</v>
      </c>
      <c r="M130" s="1218">
        <v>12750</v>
      </c>
      <c r="N130" s="1218">
        <v>0</v>
      </c>
      <c r="O130" s="1218">
        <v>-12750</v>
      </c>
      <c r="P130" s="1218">
        <v>-12750</v>
      </c>
      <c r="Q130" s="1218">
        <v>0</v>
      </c>
      <c r="R130" s="1218">
        <v>0</v>
      </c>
      <c r="S130" s="1218">
        <v>0</v>
      </c>
    </row>
    <row r="131" spans="1:19" ht="45">
      <c r="A131" s="1225" t="s">
        <v>71</v>
      </c>
      <c r="B131" s="1218">
        <v>0</v>
      </c>
      <c r="C131" s="1218">
        <v>0</v>
      </c>
      <c r="D131" s="1218">
        <v>0</v>
      </c>
      <c r="E131" s="1218">
        <v>79095.05</v>
      </c>
      <c r="F131" s="1218">
        <v>6483.2</v>
      </c>
      <c r="G131" s="1218">
        <v>79095.05</v>
      </c>
      <c r="H131" s="1218">
        <v>6483.2</v>
      </c>
      <c r="I131" s="1218">
        <v>72611.850000000006</v>
      </c>
      <c r="J131" s="242"/>
      <c r="K131" s="1242" t="s">
        <v>72</v>
      </c>
      <c r="L131" s="1218">
        <v>12719.49</v>
      </c>
      <c r="M131" s="1218">
        <v>12719.49</v>
      </c>
      <c r="N131" s="1218">
        <v>0</v>
      </c>
      <c r="O131" s="1218">
        <v>-12719.49</v>
      </c>
      <c r="P131" s="1218">
        <v>-12719.49</v>
      </c>
      <c r="Q131" s="1218">
        <v>0</v>
      </c>
      <c r="R131" s="1218">
        <v>0</v>
      </c>
      <c r="S131" s="1218">
        <v>0</v>
      </c>
    </row>
    <row r="132" spans="1:19" ht="30">
      <c r="A132" s="1225" t="s">
        <v>73</v>
      </c>
      <c r="B132" s="1218">
        <v>0</v>
      </c>
      <c r="C132" s="1218">
        <v>0</v>
      </c>
      <c r="D132" s="1218">
        <v>0</v>
      </c>
      <c r="E132" s="1218">
        <v>101082.79</v>
      </c>
      <c r="F132" s="1218">
        <v>8285.4500000000007</v>
      </c>
      <c r="G132" s="1218">
        <v>101082.79</v>
      </c>
      <c r="H132" s="1218">
        <v>8285.4500000000007</v>
      </c>
      <c r="I132" s="1218">
        <v>92797.34</v>
      </c>
      <c r="J132" s="242"/>
      <c r="K132" s="1242" t="s">
        <v>74</v>
      </c>
      <c r="L132" s="1218">
        <v>12661.03</v>
      </c>
      <c r="M132" s="1218">
        <v>12661.03</v>
      </c>
      <c r="N132" s="1218">
        <v>0</v>
      </c>
      <c r="O132" s="1218">
        <v>-12661.03</v>
      </c>
      <c r="P132" s="1218">
        <v>-12661.03</v>
      </c>
      <c r="Q132" s="1218">
        <v>0</v>
      </c>
      <c r="R132" s="1218">
        <v>0</v>
      </c>
      <c r="S132" s="1218">
        <v>0</v>
      </c>
    </row>
    <row r="133" spans="1:19" ht="60">
      <c r="A133" s="1225" t="s">
        <v>75</v>
      </c>
      <c r="B133" s="1218">
        <v>587135.22</v>
      </c>
      <c r="C133" s="1218">
        <v>34154.61</v>
      </c>
      <c r="D133" s="1218">
        <v>552980.61</v>
      </c>
      <c r="E133" s="1218">
        <v>1648</v>
      </c>
      <c r="F133" s="1218">
        <v>22832.92</v>
      </c>
      <c r="G133" s="1218">
        <v>588783.22</v>
      </c>
      <c r="H133" s="1218">
        <v>56987.53</v>
      </c>
      <c r="I133" s="1218">
        <v>531795.68999999994</v>
      </c>
      <c r="J133" s="242"/>
      <c r="K133" s="1242" t="s">
        <v>76</v>
      </c>
      <c r="L133" s="1218">
        <v>12083.91</v>
      </c>
      <c r="M133" s="1218">
        <v>12083.91</v>
      </c>
      <c r="N133" s="1218">
        <v>0</v>
      </c>
      <c r="O133" s="1218">
        <v>-12083.91</v>
      </c>
      <c r="P133" s="1218">
        <v>-12083.91</v>
      </c>
      <c r="Q133" s="1218">
        <v>0</v>
      </c>
      <c r="R133" s="1218">
        <v>0</v>
      </c>
      <c r="S133" s="1218">
        <v>0</v>
      </c>
    </row>
    <row r="134" spans="1:19" ht="30">
      <c r="A134" s="1225" t="s">
        <v>77</v>
      </c>
      <c r="B134" s="1218">
        <v>0</v>
      </c>
      <c r="C134" s="1218">
        <v>0</v>
      </c>
      <c r="D134" s="1218">
        <v>0</v>
      </c>
      <c r="E134" s="1218">
        <v>75508.47</v>
      </c>
      <c r="F134" s="1218">
        <v>12244.62</v>
      </c>
      <c r="G134" s="1218">
        <v>75508.47</v>
      </c>
      <c r="H134" s="1218">
        <v>12244.62</v>
      </c>
      <c r="I134" s="1218">
        <v>63263.85</v>
      </c>
      <c r="J134" s="242"/>
      <c r="K134" s="1242" t="s">
        <v>78</v>
      </c>
      <c r="L134" s="1218">
        <v>11492.84</v>
      </c>
      <c r="M134" s="1218">
        <v>11492.84</v>
      </c>
      <c r="N134" s="1218">
        <v>0</v>
      </c>
      <c r="O134" s="1218">
        <v>-11492.84</v>
      </c>
      <c r="P134" s="1218">
        <v>-11492.84</v>
      </c>
      <c r="Q134" s="1218">
        <v>0</v>
      </c>
      <c r="R134" s="1218">
        <v>0</v>
      </c>
      <c r="S134" s="1218">
        <v>0</v>
      </c>
    </row>
    <row r="135" spans="1:19" ht="60">
      <c r="A135" s="1225" t="s">
        <v>79</v>
      </c>
      <c r="B135" s="1218">
        <v>1438484</v>
      </c>
      <c r="C135" s="1218">
        <v>684992.4</v>
      </c>
      <c r="D135" s="1218">
        <v>753491.6</v>
      </c>
      <c r="E135" s="1218">
        <v>56259</v>
      </c>
      <c r="F135" s="1218">
        <v>256755.89</v>
      </c>
      <c r="G135" s="1218">
        <v>1494743</v>
      </c>
      <c r="H135" s="1218">
        <v>941748.29</v>
      </c>
      <c r="I135" s="1218">
        <v>552994.71</v>
      </c>
      <c r="J135" s="242"/>
      <c r="K135" s="1242" t="s">
        <v>80</v>
      </c>
      <c r="L135" s="1218">
        <v>11012.7</v>
      </c>
      <c r="M135" s="1218">
        <v>11012.7</v>
      </c>
      <c r="N135" s="1218">
        <v>0</v>
      </c>
      <c r="O135" s="1218">
        <v>-11012.7</v>
      </c>
      <c r="P135" s="1218">
        <v>-11012.7</v>
      </c>
      <c r="Q135" s="1218">
        <v>0</v>
      </c>
      <c r="R135" s="1218">
        <v>0</v>
      </c>
      <c r="S135" s="1218">
        <v>0</v>
      </c>
    </row>
    <row r="136" spans="1:19" ht="45">
      <c r="A136" s="1225" t="s">
        <v>81</v>
      </c>
      <c r="B136" s="1218">
        <v>0</v>
      </c>
      <c r="C136" s="1218">
        <v>0</v>
      </c>
      <c r="D136" s="1218">
        <v>0</v>
      </c>
      <c r="E136" s="1218">
        <v>3784746.34</v>
      </c>
      <c r="F136" s="1218">
        <v>756949.32</v>
      </c>
      <c r="G136" s="1218">
        <v>3784746.34</v>
      </c>
      <c r="H136" s="1218">
        <v>756949.32</v>
      </c>
      <c r="I136" s="1218">
        <v>3027797.02</v>
      </c>
      <c r="J136" s="242"/>
      <c r="K136" s="1242" t="s">
        <v>82</v>
      </c>
      <c r="L136" s="1218">
        <v>8684.6</v>
      </c>
      <c r="M136" s="1218">
        <v>0</v>
      </c>
      <c r="N136" s="1218">
        <v>8684.6</v>
      </c>
      <c r="O136" s="1218">
        <v>-8684.6</v>
      </c>
      <c r="P136" s="1218">
        <v>0</v>
      </c>
      <c r="Q136" s="1218">
        <v>0</v>
      </c>
      <c r="R136" s="1218">
        <v>0</v>
      </c>
      <c r="S136" s="1218">
        <v>0</v>
      </c>
    </row>
    <row r="137" spans="1:19" ht="30">
      <c r="A137" s="1225" t="s">
        <v>83</v>
      </c>
      <c r="B137" s="1218">
        <v>0</v>
      </c>
      <c r="C137" s="1218">
        <v>0</v>
      </c>
      <c r="D137" s="1218">
        <v>0</v>
      </c>
      <c r="E137" s="1218">
        <v>397319.72</v>
      </c>
      <c r="F137" s="1218">
        <v>48900.88</v>
      </c>
      <c r="G137" s="1218">
        <v>397319.72</v>
      </c>
      <c r="H137" s="1218">
        <v>48900.88</v>
      </c>
      <c r="I137" s="1218">
        <v>348418.84</v>
      </c>
      <c r="J137" s="242"/>
      <c r="K137" s="242"/>
      <c r="L137" s="242"/>
      <c r="M137" s="242"/>
      <c r="N137" s="242"/>
      <c r="O137" s="242"/>
      <c r="P137" s="242"/>
      <c r="Q137" s="242"/>
      <c r="R137" s="242"/>
      <c r="S137" s="242"/>
    </row>
    <row r="138" spans="1:19" ht="30">
      <c r="A138" s="1225" t="s">
        <v>1962</v>
      </c>
      <c r="B138" s="1218">
        <v>0</v>
      </c>
      <c r="C138" s="1218">
        <v>0</v>
      </c>
      <c r="D138" s="1218">
        <v>0</v>
      </c>
      <c r="E138" s="1218">
        <v>3329565.25</v>
      </c>
      <c r="F138" s="1218">
        <v>73990.320000000007</v>
      </c>
      <c r="G138" s="1218">
        <v>3329565.25</v>
      </c>
      <c r="H138" s="1218">
        <v>73990.320000000007</v>
      </c>
      <c r="I138" s="1218">
        <v>3255574.93</v>
      </c>
      <c r="J138" s="242"/>
      <c r="K138" s="242"/>
      <c r="L138" s="242"/>
      <c r="M138" s="242"/>
      <c r="N138" s="242"/>
      <c r="O138" s="242"/>
      <c r="P138" s="242"/>
      <c r="Q138" s="242"/>
      <c r="R138" s="242"/>
      <c r="S138" s="242"/>
    </row>
    <row r="139" spans="1:19">
      <c r="B139" s="242"/>
      <c r="C139" s="242"/>
      <c r="D139" s="242"/>
      <c r="E139" s="242"/>
      <c r="F139" s="242"/>
      <c r="G139" s="242"/>
      <c r="H139" s="242"/>
      <c r="I139" s="242"/>
      <c r="J139" s="242"/>
      <c r="K139" s="242"/>
      <c r="L139" s="242"/>
      <c r="M139" s="242"/>
      <c r="N139" s="242"/>
      <c r="O139" s="242"/>
      <c r="P139" s="242"/>
      <c r="Q139" s="242"/>
      <c r="R139" s="242"/>
      <c r="S139" s="242"/>
    </row>
    <row r="140" spans="1:19" ht="18">
      <c r="A140" s="1209" t="s">
        <v>1459</v>
      </c>
      <c r="B140" s="1235"/>
      <c r="C140" s="1235"/>
      <c r="D140" s="1235"/>
      <c r="E140" s="1235"/>
      <c r="F140" s="1235"/>
      <c r="G140" s="1235"/>
      <c r="H140" s="1235"/>
      <c r="I140" s="1235"/>
      <c r="J140" s="242"/>
      <c r="K140" s="1236" t="s">
        <v>1459</v>
      </c>
      <c r="L140" s="1235"/>
      <c r="M140" s="1235"/>
      <c r="N140" s="1235"/>
      <c r="O140" s="1235"/>
      <c r="P140" s="1235"/>
      <c r="Q140" s="1235"/>
      <c r="R140" s="1235"/>
      <c r="S140" s="1235"/>
    </row>
    <row r="141" spans="1:19" ht="15.75">
      <c r="A141" s="1193" t="s">
        <v>10</v>
      </c>
      <c r="B141" s="1237"/>
      <c r="C141" s="1237"/>
      <c r="D141" s="1237"/>
      <c r="E141" s="1237"/>
      <c r="F141" s="1237"/>
      <c r="G141" s="1237"/>
      <c r="H141" s="1237"/>
      <c r="I141" s="1237"/>
      <c r="J141" s="242"/>
      <c r="K141" s="1238" t="s">
        <v>1711</v>
      </c>
      <c r="L141" s="1237"/>
      <c r="M141" s="1237"/>
      <c r="N141" s="1237"/>
      <c r="O141" s="1237"/>
      <c r="P141" s="1237"/>
      <c r="Q141" s="1237"/>
      <c r="R141" s="1237"/>
      <c r="S141" s="1237"/>
    </row>
    <row r="142" spans="1:19" ht="15.75">
      <c r="A142" s="1193" t="s">
        <v>1963</v>
      </c>
      <c r="B142" s="1237"/>
      <c r="C142" s="1237"/>
      <c r="D142" s="1237"/>
      <c r="E142" s="1237"/>
      <c r="F142" s="1237"/>
      <c r="G142" s="1237"/>
      <c r="H142" s="1237"/>
      <c r="I142" s="1237"/>
      <c r="J142" s="242"/>
      <c r="K142" s="1238" t="s">
        <v>1705</v>
      </c>
      <c r="L142" s="1237"/>
      <c r="M142" s="1237"/>
      <c r="N142" s="1237"/>
      <c r="O142" s="1237"/>
      <c r="P142" s="1237"/>
      <c r="Q142" s="1237"/>
      <c r="R142" s="1237"/>
      <c r="S142" s="1237"/>
    </row>
    <row r="143" spans="1:19">
      <c r="B143" s="242"/>
      <c r="C143" s="242"/>
      <c r="D143" s="242"/>
      <c r="E143" s="242"/>
      <c r="F143" s="242"/>
      <c r="G143" s="242"/>
      <c r="H143" s="242"/>
      <c r="I143" s="242"/>
      <c r="J143" s="242"/>
      <c r="K143" s="242"/>
      <c r="L143" s="242"/>
      <c r="M143" s="242"/>
      <c r="N143" s="242"/>
      <c r="O143" s="242"/>
      <c r="P143" s="242"/>
      <c r="Q143" s="242"/>
      <c r="R143" s="242"/>
      <c r="S143" s="242"/>
    </row>
    <row r="144" spans="1:19">
      <c r="A144" s="1222" t="s">
        <v>1713</v>
      </c>
      <c r="B144" s="1239" t="s">
        <v>1694</v>
      </c>
      <c r="C144" s="1239"/>
      <c r="D144" s="1239"/>
      <c r="E144" s="1239" t="s">
        <v>1695</v>
      </c>
      <c r="F144" s="1239"/>
      <c r="G144" s="1239" t="s">
        <v>1696</v>
      </c>
      <c r="H144" s="1239"/>
      <c r="I144" s="1239"/>
      <c r="J144" s="242"/>
      <c r="K144" s="1240" t="s">
        <v>1713</v>
      </c>
      <c r="L144" s="1239" t="s">
        <v>1694</v>
      </c>
      <c r="M144" s="1239"/>
      <c r="N144" s="1239"/>
      <c r="O144" s="1239" t="s">
        <v>1695</v>
      </c>
      <c r="P144" s="1239"/>
      <c r="Q144" s="1239" t="s">
        <v>1696</v>
      </c>
      <c r="R144" s="1239"/>
      <c r="S144" s="1239"/>
    </row>
    <row r="145" spans="1:19" ht="29.25">
      <c r="A145" s="1206" t="s">
        <v>1714</v>
      </c>
      <c r="B145" s="1241" t="s">
        <v>1697</v>
      </c>
      <c r="C145" s="1241" t="s">
        <v>1698</v>
      </c>
      <c r="D145" s="1241" t="s">
        <v>1699</v>
      </c>
      <c r="E145" s="1241" t="s">
        <v>1700</v>
      </c>
      <c r="F145" s="1241" t="s">
        <v>1701</v>
      </c>
      <c r="G145" s="1241" t="s">
        <v>1697</v>
      </c>
      <c r="H145" s="1241" t="s">
        <v>1698</v>
      </c>
      <c r="I145" s="1241" t="s">
        <v>1699</v>
      </c>
      <c r="J145" s="242"/>
      <c r="K145" s="1241" t="s">
        <v>1714</v>
      </c>
      <c r="L145" s="1241" t="s">
        <v>1697</v>
      </c>
      <c r="M145" s="1241" t="s">
        <v>1698</v>
      </c>
      <c r="N145" s="1241" t="s">
        <v>1699</v>
      </c>
      <c r="O145" s="1241" t="s">
        <v>1700</v>
      </c>
      <c r="P145" s="1241" t="s">
        <v>1701</v>
      </c>
      <c r="Q145" s="1241" t="s">
        <v>1697</v>
      </c>
      <c r="R145" s="1241" t="s">
        <v>1698</v>
      </c>
      <c r="S145" s="1241" t="s">
        <v>1699</v>
      </c>
    </row>
    <row r="146" spans="1:19" ht="30">
      <c r="A146" s="1225" t="s">
        <v>1964</v>
      </c>
      <c r="B146" s="1218">
        <v>187661.01</v>
      </c>
      <c r="C146" s="1218">
        <v>114570.49</v>
      </c>
      <c r="D146" s="1218">
        <v>73090.52</v>
      </c>
      <c r="E146" s="1218">
        <v>21182</v>
      </c>
      <c r="F146" s="1218">
        <v>39880.71</v>
      </c>
      <c r="G146" s="1218">
        <v>208843.01</v>
      </c>
      <c r="H146" s="1218">
        <v>154451.20000000001</v>
      </c>
      <c r="I146" s="1218">
        <v>54391.81</v>
      </c>
      <c r="J146" s="242"/>
      <c r="K146" s="1242" t="s">
        <v>1965</v>
      </c>
      <c r="L146" s="1218">
        <v>12982.2</v>
      </c>
      <c r="M146" s="1218">
        <v>12982.2</v>
      </c>
      <c r="N146" s="1218"/>
      <c r="O146" s="1218">
        <v>-12982.2</v>
      </c>
      <c r="P146" s="1218">
        <v>-12982.2</v>
      </c>
      <c r="Q146" s="1218"/>
      <c r="R146" s="1218"/>
      <c r="S146" s="1218"/>
    </row>
    <row r="147" spans="1:19" ht="30">
      <c r="A147" s="1225" t="s">
        <v>1966</v>
      </c>
      <c r="B147" s="1218"/>
      <c r="C147" s="1218"/>
      <c r="D147" s="1218"/>
      <c r="E147" s="1218">
        <v>138213</v>
      </c>
      <c r="F147" s="1218"/>
      <c r="G147" s="1218">
        <v>138213</v>
      </c>
      <c r="H147" s="1218"/>
      <c r="I147" s="1218">
        <v>138213</v>
      </c>
      <c r="J147" s="242"/>
      <c r="K147" s="1242" t="s">
        <v>1967</v>
      </c>
      <c r="L147" s="1218">
        <v>11755.93</v>
      </c>
      <c r="M147" s="1218">
        <v>11755.93</v>
      </c>
      <c r="N147" s="1218"/>
      <c r="O147" s="1218">
        <v>-11755.93</v>
      </c>
      <c r="P147" s="1218">
        <v>-11755.93</v>
      </c>
      <c r="Q147" s="1218"/>
      <c r="R147" s="1218"/>
      <c r="S147" s="1218"/>
    </row>
    <row r="148" spans="1:19" ht="30">
      <c r="A148" s="1225" t="s">
        <v>1968</v>
      </c>
      <c r="B148" s="1218"/>
      <c r="C148" s="1218"/>
      <c r="D148" s="1218"/>
      <c r="E148" s="1218">
        <v>382246</v>
      </c>
      <c r="F148" s="1218"/>
      <c r="G148" s="1218">
        <v>382246</v>
      </c>
      <c r="H148" s="1218"/>
      <c r="I148" s="1218">
        <v>382246</v>
      </c>
      <c r="J148" s="242"/>
      <c r="K148" s="1242" t="s">
        <v>1969</v>
      </c>
      <c r="L148" s="1218">
        <v>11570.35</v>
      </c>
      <c r="M148" s="1218">
        <v>11570.35</v>
      </c>
      <c r="N148" s="1218"/>
      <c r="O148" s="1218">
        <v>-11570.35</v>
      </c>
      <c r="P148" s="1218">
        <v>-11570.35</v>
      </c>
      <c r="Q148" s="1218"/>
      <c r="R148" s="1218"/>
      <c r="S148" s="1218"/>
    </row>
    <row r="149" spans="1:19" ht="45">
      <c r="A149" s="1225" t="s">
        <v>1970</v>
      </c>
      <c r="B149" s="1218"/>
      <c r="C149" s="1218"/>
      <c r="D149" s="1218"/>
      <c r="E149" s="1218">
        <v>808939</v>
      </c>
      <c r="F149" s="1218"/>
      <c r="G149" s="1218">
        <v>808939</v>
      </c>
      <c r="H149" s="1218"/>
      <c r="I149" s="1218">
        <v>808939</v>
      </c>
      <c r="J149" s="242"/>
      <c r="K149" s="1242" t="s">
        <v>1971</v>
      </c>
      <c r="L149" s="1218">
        <v>11116.96</v>
      </c>
      <c r="M149" s="1218">
        <v>11116.96</v>
      </c>
      <c r="N149" s="1218"/>
      <c r="O149" s="1218">
        <v>-11116.96</v>
      </c>
      <c r="P149" s="1218">
        <v>-11116.96</v>
      </c>
      <c r="Q149" s="1218"/>
      <c r="R149" s="1218"/>
      <c r="S149" s="1218"/>
    </row>
    <row r="150" spans="1:19">
      <c r="A150" s="1225" t="s">
        <v>1972</v>
      </c>
      <c r="B150" s="1218">
        <v>12473876.039999999</v>
      </c>
      <c r="C150" s="1218">
        <v>824719.04</v>
      </c>
      <c r="D150" s="1218">
        <v>11649157</v>
      </c>
      <c r="E150" s="1218">
        <v>117330.74</v>
      </c>
      <c r="F150" s="1218">
        <v>1237078.56</v>
      </c>
      <c r="G150" s="1218">
        <v>12591206.779999999</v>
      </c>
      <c r="H150" s="1218">
        <v>2061797.6</v>
      </c>
      <c r="I150" s="1218">
        <v>10529409.18</v>
      </c>
      <c r="J150" s="242"/>
      <c r="K150" s="1243"/>
      <c r="L150" s="1244"/>
      <c r="M150" s="1244"/>
      <c r="N150" s="1244"/>
      <c r="O150" s="1244"/>
      <c r="P150" s="1244"/>
      <c r="Q150" s="1244"/>
      <c r="R150" s="1244"/>
      <c r="S150" s="1244"/>
    </row>
    <row r="151" spans="1:19" ht="30">
      <c r="A151" s="1225" t="s">
        <v>1973</v>
      </c>
      <c r="B151" s="1218"/>
      <c r="C151" s="1218"/>
      <c r="D151" s="1218"/>
      <c r="E151" s="1218">
        <v>129010</v>
      </c>
      <c r="F151" s="1218">
        <v>19034.28</v>
      </c>
      <c r="G151" s="1218">
        <v>129010</v>
      </c>
      <c r="H151" s="1218">
        <v>19034.28</v>
      </c>
      <c r="I151" s="1218">
        <v>109975.72</v>
      </c>
      <c r="J151" s="242"/>
      <c r="K151" s="1243"/>
      <c r="L151" s="1244"/>
      <c r="M151" s="1244"/>
      <c r="N151" s="1244"/>
      <c r="O151" s="1244"/>
      <c r="P151" s="1244"/>
      <c r="Q151" s="1244"/>
      <c r="R151" s="1244"/>
      <c r="S151" s="1244"/>
    </row>
    <row r="152" spans="1:19" ht="30">
      <c r="A152" s="1225" t="s">
        <v>1974</v>
      </c>
      <c r="B152" s="1218">
        <v>2860327</v>
      </c>
      <c r="C152" s="1218">
        <v>286032.93</v>
      </c>
      <c r="D152" s="1218">
        <v>2574294.0699999998</v>
      </c>
      <c r="E152" s="1218">
        <v>616428.16</v>
      </c>
      <c r="F152" s="1218">
        <v>46082.34</v>
      </c>
      <c r="G152" s="1218">
        <v>3476755.16</v>
      </c>
      <c r="H152" s="1218">
        <v>332115.27</v>
      </c>
      <c r="I152" s="1218">
        <v>3144639.89</v>
      </c>
      <c r="J152" s="242"/>
      <c r="K152" s="1243"/>
      <c r="L152" s="1244"/>
      <c r="M152" s="1244"/>
      <c r="N152" s="1244"/>
      <c r="O152" s="1244"/>
      <c r="P152" s="1244"/>
      <c r="Q152" s="1244"/>
      <c r="R152" s="1244"/>
      <c r="S152" s="1244"/>
    </row>
    <row r="153" spans="1:19" ht="30">
      <c r="A153" s="1225" t="s">
        <v>1975</v>
      </c>
      <c r="B153" s="1218">
        <v>708642</v>
      </c>
      <c r="C153" s="1218">
        <v>112812.81</v>
      </c>
      <c r="D153" s="1218">
        <v>595829.18999999994</v>
      </c>
      <c r="E153" s="1218">
        <v>423707.69</v>
      </c>
      <c r="F153" s="1218">
        <v>13143.24</v>
      </c>
      <c r="G153" s="1218">
        <v>1132349.69</v>
      </c>
      <c r="H153" s="1218">
        <v>125956.05</v>
      </c>
      <c r="I153" s="1218">
        <v>1006393.64</v>
      </c>
      <c r="J153" s="242"/>
      <c r="K153" s="1243"/>
      <c r="L153" s="1244"/>
      <c r="M153" s="1244"/>
      <c r="N153" s="1244"/>
      <c r="O153" s="1244"/>
      <c r="P153" s="1244"/>
      <c r="Q153" s="1244"/>
      <c r="R153" s="1244"/>
      <c r="S153" s="1244"/>
    </row>
    <row r="154" spans="1:19" ht="30">
      <c r="A154" s="1225" t="s">
        <v>1976</v>
      </c>
      <c r="B154" s="1218"/>
      <c r="C154" s="1218"/>
      <c r="D154" s="1218"/>
      <c r="E154" s="1218">
        <v>125830.86</v>
      </c>
      <c r="F154" s="1218">
        <v>8388.7199999999993</v>
      </c>
      <c r="G154" s="1218">
        <v>125830.86</v>
      </c>
      <c r="H154" s="1218">
        <v>8388.7199999999993</v>
      </c>
      <c r="I154" s="1218">
        <v>117442.14</v>
      </c>
      <c r="J154" s="242"/>
      <c r="K154" s="1243"/>
      <c r="L154" s="1244"/>
      <c r="M154" s="1244"/>
      <c r="N154" s="1244"/>
      <c r="O154" s="1244"/>
      <c r="P154" s="1244"/>
      <c r="Q154" s="1244"/>
      <c r="R154" s="1244"/>
      <c r="S154" s="1244"/>
    </row>
    <row r="155" spans="1:19">
      <c r="A155" s="1225" t="s">
        <v>1977</v>
      </c>
      <c r="B155" s="1218"/>
      <c r="C155" s="1218"/>
      <c r="D155" s="1218"/>
      <c r="E155" s="1218">
        <v>90448.89</v>
      </c>
      <c r="F155" s="1218">
        <v>7475.1</v>
      </c>
      <c r="G155" s="1218">
        <v>90448.89</v>
      </c>
      <c r="H155" s="1218">
        <v>7475.1</v>
      </c>
      <c r="I155" s="1218">
        <v>82973.789999999994</v>
      </c>
      <c r="J155" s="242"/>
      <c r="K155" s="1243"/>
      <c r="L155" s="1244"/>
      <c r="M155" s="1244"/>
      <c r="N155" s="1244"/>
      <c r="O155" s="1244"/>
      <c r="P155" s="1244"/>
      <c r="Q155" s="1244"/>
      <c r="R155" s="1244"/>
      <c r="S155" s="1244"/>
    </row>
    <row r="156" spans="1:19">
      <c r="A156" s="1225" t="s">
        <v>1978</v>
      </c>
      <c r="B156" s="1218"/>
      <c r="C156" s="1218"/>
      <c r="D156" s="1218"/>
      <c r="E156" s="1218">
        <v>82643.820000000007</v>
      </c>
      <c r="F156" s="1218">
        <v>6830.1</v>
      </c>
      <c r="G156" s="1218">
        <v>82643.820000000007</v>
      </c>
      <c r="H156" s="1218">
        <v>6830.1</v>
      </c>
      <c r="I156" s="1218">
        <v>75813.72</v>
      </c>
      <c r="J156" s="242"/>
      <c r="K156" s="1243"/>
      <c r="L156" s="1244"/>
      <c r="M156" s="1244"/>
      <c r="N156" s="1244"/>
      <c r="O156" s="1244"/>
      <c r="P156" s="1244"/>
      <c r="Q156" s="1244"/>
      <c r="R156" s="1244"/>
      <c r="S156" s="1244"/>
    </row>
    <row r="157" spans="1:19">
      <c r="A157" s="1225" t="s">
        <v>1979</v>
      </c>
      <c r="B157" s="1218"/>
      <c r="C157" s="1218"/>
      <c r="D157" s="1218"/>
      <c r="E157" s="1218">
        <v>54237.29</v>
      </c>
      <c r="F157" s="1218">
        <v>9039.52</v>
      </c>
      <c r="G157" s="1218">
        <v>54237.29</v>
      </c>
      <c r="H157" s="1218">
        <v>9039.52</v>
      </c>
      <c r="I157" s="1218">
        <v>45197.77</v>
      </c>
      <c r="J157" s="242"/>
      <c r="K157" s="1243"/>
      <c r="L157" s="1244"/>
      <c r="M157" s="1244"/>
      <c r="N157" s="1244"/>
      <c r="O157" s="1244"/>
      <c r="P157" s="1244"/>
      <c r="Q157" s="1244"/>
      <c r="R157" s="1244"/>
      <c r="S157" s="1244"/>
    </row>
    <row r="158" spans="1:19" ht="30">
      <c r="A158" s="1225" t="s">
        <v>788</v>
      </c>
      <c r="B158" s="1218">
        <v>31830</v>
      </c>
      <c r="C158" s="1218">
        <v>31830</v>
      </c>
      <c r="D158" s="1218"/>
      <c r="E158" s="1218">
        <v>298238</v>
      </c>
      <c r="F158" s="1218">
        <v>9941.26</v>
      </c>
      <c r="G158" s="1218">
        <v>330068</v>
      </c>
      <c r="H158" s="1218">
        <v>41771.26</v>
      </c>
      <c r="I158" s="1218">
        <v>288296.74</v>
      </c>
      <c r="J158" s="242"/>
      <c r="K158" s="1243"/>
      <c r="L158" s="1244"/>
      <c r="M158" s="1244"/>
      <c r="N158" s="1244"/>
      <c r="O158" s="1244"/>
      <c r="P158" s="1244"/>
      <c r="Q158" s="1244"/>
      <c r="R158" s="1244"/>
      <c r="S158" s="1244"/>
    </row>
    <row r="159" spans="1:19">
      <c r="A159" s="1225" t="s">
        <v>789</v>
      </c>
      <c r="B159" s="1218"/>
      <c r="C159" s="1218"/>
      <c r="D159" s="1218"/>
      <c r="E159" s="1218">
        <v>55398.31</v>
      </c>
      <c r="F159" s="1218">
        <v>18466.080000000002</v>
      </c>
      <c r="G159" s="1218">
        <v>55398.31</v>
      </c>
      <c r="H159" s="1218">
        <v>18466.080000000002</v>
      </c>
      <c r="I159" s="1218">
        <v>36932.230000000003</v>
      </c>
      <c r="J159" s="242"/>
      <c r="K159" s="1243"/>
      <c r="L159" s="1244"/>
      <c r="M159" s="1244"/>
      <c r="N159" s="1244"/>
      <c r="O159" s="1244"/>
      <c r="P159" s="1244"/>
      <c r="Q159" s="1244"/>
      <c r="R159" s="1244"/>
      <c r="S159" s="1244"/>
    </row>
    <row r="160" spans="1:19" ht="30">
      <c r="A160" s="1225" t="s">
        <v>790</v>
      </c>
      <c r="B160" s="1218"/>
      <c r="C160" s="1218"/>
      <c r="D160" s="1218"/>
      <c r="E160" s="1218">
        <v>59350</v>
      </c>
      <c r="F160" s="1218">
        <v>3626.92</v>
      </c>
      <c r="G160" s="1218">
        <v>59350</v>
      </c>
      <c r="H160" s="1218">
        <v>3626.92</v>
      </c>
      <c r="I160" s="1218">
        <v>55723.08</v>
      </c>
      <c r="J160" s="242"/>
      <c r="K160" s="1243"/>
      <c r="L160" s="1244"/>
      <c r="M160" s="1244"/>
      <c r="N160" s="1244"/>
      <c r="O160" s="1244"/>
      <c r="P160" s="1244"/>
      <c r="Q160" s="1244"/>
      <c r="R160" s="1244"/>
      <c r="S160" s="1244"/>
    </row>
    <row r="161" spans="1:19" ht="30">
      <c r="A161" s="1225" t="s">
        <v>791</v>
      </c>
      <c r="B161" s="1218"/>
      <c r="C161" s="1218"/>
      <c r="D161" s="1218"/>
      <c r="E161" s="1218">
        <v>3512220.76</v>
      </c>
      <c r="F161" s="1218">
        <v>39024.68</v>
      </c>
      <c r="G161" s="1218">
        <v>3512220.76</v>
      </c>
      <c r="H161" s="1218">
        <v>39024.68</v>
      </c>
      <c r="I161" s="1218">
        <v>3473196.08</v>
      </c>
      <c r="J161" s="242"/>
      <c r="K161" s="1243"/>
      <c r="L161" s="1244"/>
      <c r="M161" s="1244"/>
      <c r="N161" s="1244"/>
      <c r="O161" s="1244"/>
      <c r="P161" s="1244"/>
      <c r="Q161" s="1244"/>
      <c r="R161" s="1244"/>
      <c r="S161" s="1244"/>
    </row>
    <row r="164" spans="1:19" ht="18">
      <c r="A164" s="1209" t="s">
        <v>1459</v>
      </c>
      <c r="B164" s="1235"/>
      <c r="C164" s="1235"/>
      <c r="D164" s="1235"/>
      <c r="E164" s="1235"/>
      <c r="F164" s="1235"/>
      <c r="G164" s="1235"/>
      <c r="H164" s="1235"/>
      <c r="I164" s="1235"/>
      <c r="K164" s="1236" t="s">
        <v>1459</v>
      </c>
      <c r="L164" s="1235"/>
      <c r="M164" s="1235"/>
      <c r="N164" s="1235"/>
      <c r="O164" s="1235"/>
      <c r="P164" s="1235"/>
      <c r="Q164" s="1235"/>
      <c r="R164" s="1235"/>
      <c r="S164" s="1235"/>
    </row>
    <row r="165" spans="1:19" ht="15.75">
      <c r="A165" s="1947" t="s">
        <v>10</v>
      </c>
      <c r="B165" s="1947"/>
      <c r="C165" s="1947"/>
      <c r="D165" s="1947"/>
      <c r="E165" s="1947"/>
      <c r="F165" s="1947"/>
      <c r="G165" s="1947"/>
      <c r="H165" s="1947"/>
      <c r="I165" s="1947"/>
      <c r="K165" s="1238" t="s">
        <v>1711</v>
      </c>
      <c r="L165" s="1237"/>
      <c r="M165" s="1237"/>
      <c r="N165" s="1237"/>
      <c r="O165" s="1237"/>
      <c r="P165" s="1237"/>
      <c r="Q165" s="1237"/>
      <c r="R165" s="1237"/>
      <c r="S165" s="1237"/>
    </row>
    <row r="166" spans="1:19" ht="15.75">
      <c r="A166" s="1947" t="s">
        <v>792</v>
      </c>
      <c r="B166" s="1947"/>
      <c r="C166" s="1947"/>
      <c r="D166" s="1947"/>
      <c r="E166" s="1947"/>
      <c r="F166" s="1947"/>
      <c r="G166" s="1947"/>
      <c r="H166" s="1947"/>
      <c r="I166" s="1947"/>
      <c r="K166" s="1238" t="s">
        <v>1706</v>
      </c>
      <c r="L166" s="1237"/>
      <c r="M166" s="1237"/>
      <c r="N166" s="1237"/>
      <c r="O166" s="1237"/>
      <c r="P166" s="1237"/>
      <c r="Q166" s="1237"/>
      <c r="R166" s="1237"/>
      <c r="S166" s="1237"/>
    </row>
    <row r="168" spans="1:19">
      <c r="A168" s="1222" t="s">
        <v>1713</v>
      </c>
      <c r="B168" s="1239" t="s">
        <v>1694</v>
      </c>
      <c r="C168" s="1239"/>
      <c r="D168" s="1239"/>
      <c r="E168" s="1239" t="s">
        <v>1695</v>
      </c>
      <c r="F168" s="1239"/>
      <c r="G168" s="1239" t="s">
        <v>1696</v>
      </c>
      <c r="H168" s="1239"/>
      <c r="I168" s="1239"/>
      <c r="K168" s="1222" t="s">
        <v>1713</v>
      </c>
      <c r="L168" s="1239" t="s">
        <v>1694</v>
      </c>
      <c r="M168" s="1239"/>
      <c r="N168" s="1239"/>
      <c r="O168" s="1239" t="s">
        <v>1695</v>
      </c>
      <c r="P168" s="1239"/>
      <c r="Q168" s="1239" t="s">
        <v>1696</v>
      </c>
      <c r="R168" s="1239"/>
      <c r="S168" s="1239"/>
    </row>
    <row r="169" spans="1:19" ht="29.25">
      <c r="A169" s="1206" t="s">
        <v>1714</v>
      </c>
      <c r="B169" s="1241" t="s">
        <v>1697</v>
      </c>
      <c r="C169" s="1241" t="s">
        <v>1698</v>
      </c>
      <c r="D169" s="1241" t="s">
        <v>1699</v>
      </c>
      <c r="E169" s="1241" t="s">
        <v>1700</v>
      </c>
      <c r="F169" s="1241" t="s">
        <v>1701</v>
      </c>
      <c r="G169" s="1241" t="s">
        <v>1697</v>
      </c>
      <c r="H169" s="1241" t="s">
        <v>1698</v>
      </c>
      <c r="I169" s="1241" t="s">
        <v>1699</v>
      </c>
      <c r="K169" s="1206" t="s">
        <v>1714</v>
      </c>
      <c r="L169" s="1241" t="s">
        <v>1697</v>
      </c>
      <c r="M169" s="1241" t="s">
        <v>1698</v>
      </c>
      <c r="N169" s="1241" t="s">
        <v>1699</v>
      </c>
      <c r="O169" s="1241" t="s">
        <v>1700</v>
      </c>
      <c r="P169" s="1241" t="s">
        <v>1701</v>
      </c>
      <c r="Q169" s="1241" t="s">
        <v>1697</v>
      </c>
      <c r="R169" s="1241" t="s">
        <v>1698</v>
      </c>
      <c r="S169" s="1241" t="s">
        <v>1699</v>
      </c>
    </row>
    <row r="170" spans="1:19">
      <c r="A170" s="1245" t="s">
        <v>793</v>
      </c>
      <c r="B170" s="1246"/>
      <c r="C170" s="1246"/>
      <c r="D170" s="1247"/>
      <c r="E170" s="1247">
        <v>491525.42</v>
      </c>
      <c r="F170" s="1247">
        <v>17347.95</v>
      </c>
      <c r="G170" s="1247">
        <v>491525.42</v>
      </c>
      <c r="H170" s="1247">
        <v>17347.95</v>
      </c>
      <c r="I170" s="1247">
        <v>474177.47</v>
      </c>
      <c r="K170" s="1245" t="s">
        <v>794</v>
      </c>
      <c r="L170" s="1247">
        <v>116700</v>
      </c>
      <c r="M170" s="1247">
        <v>116700</v>
      </c>
      <c r="N170" s="1247"/>
      <c r="O170" s="1247">
        <v>-116700</v>
      </c>
      <c r="P170" s="1247">
        <v>-116700</v>
      </c>
      <c r="Q170" s="1246"/>
      <c r="R170" s="1246"/>
      <c r="S170" s="1246"/>
    </row>
    <row r="171" spans="1:19">
      <c r="A171" s="1245" t="s">
        <v>795</v>
      </c>
      <c r="B171" s="1247">
        <v>166020</v>
      </c>
      <c r="C171" s="1247">
        <v>36491.910000000003</v>
      </c>
      <c r="D171" s="1247">
        <f>B171-C171</f>
        <v>129528.09</v>
      </c>
      <c r="E171" s="1247">
        <v>198424.75</v>
      </c>
      <c r="F171" s="1247">
        <v>4812.12</v>
      </c>
      <c r="G171" s="1247">
        <v>364444.75</v>
      </c>
      <c r="H171" s="1247">
        <v>41304.03</v>
      </c>
      <c r="I171" s="1247">
        <v>323140.71999999997</v>
      </c>
      <c r="K171" s="1245" t="s">
        <v>796</v>
      </c>
      <c r="L171" s="1247">
        <v>12054.16</v>
      </c>
      <c r="M171" s="1247">
        <v>12054.16</v>
      </c>
      <c r="N171" s="1247"/>
      <c r="O171" s="1247">
        <v>-12054.16</v>
      </c>
      <c r="P171" s="1247">
        <v>-12054.16</v>
      </c>
      <c r="Q171" s="1246"/>
      <c r="R171" s="1246"/>
      <c r="S171" s="1246"/>
    </row>
    <row r="172" spans="1:19" ht="22.5">
      <c r="A172" s="1245" t="s">
        <v>797</v>
      </c>
      <c r="B172" s="1246"/>
      <c r="C172" s="1246"/>
      <c r="D172" s="1247"/>
      <c r="E172" s="1247">
        <v>114588.38</v>
      </c>
      <c r="F172" s="1247">
        <v>4735.05</v>
      </c>
      <c r="G172" s="1247">
        <v>114588.38</v>
      </c>
      <c r="H172" s="1247">
        <v>4735.05</v>
      </c>
      <c r="I172" s="1247">
        <v>109853.33</v>
      </c>
      <c r="K172" s="1245" t="s">
        <v>798</v>
      </c>
      <c r="L172" s="1247">
        <v>12334.75</v>
      </c>
      <c r="M172" s="1247">
        <v>12334.75</v>
      </c>
      <c r="N172" s="1247"/>
      <c r="O172" s="1247">
        <v>-12334.75</v>
      </c>
      <c r="P172" s="1247">
        <v>-12334.75</v>
      </c>
      <c r="Q172" s="1246"/>
      <c r="R172" s="1246"/>
      <c r="S172" s="1246"/>
    </row>
    <row r="173" spans="1:19" ht="22.5">
      <c r="A173" s="1245" t="s">
        <v>799</v>
      </c>
      <c r="B173" s="1247">
        <v>24762</v>
      </c>
      <c r="C173" s="1247">
        <v>24762</v>
      </c>
      <c r="D173" s="1247"/>
      <c r="E173" s="1247">
        <v>253580.78</v>
      </c>
      <c r="F173" s="1247">
        <v>9056.4599999999991</v>
      </c>
      <c r="G173" s="1247">
        <v>278342.78000000003</v>
      </c>
      <c r="H173" s="1247">
        <v>33818.46</v>
      </c>
      <c r="I173" s="1247">
        <v>244524.32</v>
      </c>
      <c r="K173" s="1245" t="s">
        <v>800</v>
      </c>
      <c r="L173" s="1247">
        <v>12749.99</v>
      </c>
      <c r="M173" s="1247">
        <v>12749.99</v>
      </c>
      <c r="N173" s="1247"/>
      <c r="O173" s="1247">
        <v>-12749.99</v>
      </c>
      <c r="P173" s="1247">
        <v>-12749.99</v>
      </c>
      <c r="Q173" s="1246"/>
      <c r="R173" s="1246"/>
      <c r="S173" s="1246"/>
    </row>
    <row r="174" spans="1:19">
      <c r="A174" s="1245" t="s">
        <v>801</v>
      </c>
      <c r="B174" s="1246"/>
      <c r="C174" s="1246"/>
      <c r="D174" s="1247"/>
      <c r="E174" s="1247">
        <v>5499</v>
      </c>
      <c r="F174" s="1247">
        <v>4124.25</v>
      </c>
      <c r="G174" s="1247">
        <v>5499</v>
      </c>
      <c r="H174" s="1247">
        <v>4124.25</v>
      </c>
      <c r="I174" s="1247">
        <v>1374.75</v>
      </c>
      <c r="K174" s="1245" t="s">
        <v>802</v>
      </c>
      <c r="L174" s="1247">
        <v>9773.57</v>
      </c>
      <c r="M174" s="1246"/>
      <c r="N174" s="1247">
        <f>L174-M174</f>
        <v>9773.57</v>
      </c>
      <c r="O174" s="1247">
        <v>-9773.57</v>
      </c>
      <c r="P174" s="1246"/>
      <c r="Q174" s="1246"/>
      <c r="R174" s="1246"/>
      <c r="S174" s="1246"/>
    </row>
    <row r="175" spans="1:19" ht="33.75">
      <c r="A175" s="1245" t="s">
        <v>803</v>
      </c>
      <c r="B175" s="1246"/>
      <c r="C175" s="1246"/>
      <c r="D175" s="1247"/>
      <c r="E175" s="1247">
        <v>5972</v>
      </c>
      <c r="F175" s="1247">
        <v>1493.01</v>
      </c>
      <c r="G175" s="1247">
        <v>5972</v>
      </c>
      <c r="H175" s="1247">
        <v>1493.01</v>
      </c>
      <c r="I175" s="1247">
        <v>4478.99</v>
      </c>
      <c r="K175" s="1245" t="s">
        <v>804</v>
      </c>
      <c r="L175" s="1247">
        <v>11766.94</v>
      </c>
      <c r="M175" s="1247">
        <v>11766.94</v>
      </c>
      <c r="N175" s="1247"/>
      <c r="O175" s="1247">
        <v>-11766.94</v>
      </c>
      <c r="P175" s="1247">
        <v>-11766.94</v>
      </c>
      <c r="Q175" s="1246"/>
      <c r="R175" s="1246"/>
      <c r="S175" s="1246"/>
    </row>
    <row r="176" spans="1:19" ht="33.75">
      <c r="A176" s="1245" t="s">
        <v>805</v>
      </c>
      <c r="B176" s="1246"/>
      <c r="C176" s="1246"/>
      <c r="D176" s="1247"/>
      <c r="E176" s="1247">
        <v>6023</v>
      </c>
      <c r="F176" s="1247">
        <v>1505.79</v>
      </c>
      <c r="G176" s="1247">
        <v>6023</v>
      </c>
      <c r="H176" s="1247">
        <v>1505.79</v>
      </c>
      <c r="I176" s="1247">
        <v>4517.21</v>
      </c>
      <c r="K176" s="1245" t="s">
        <v>806</v>
      </c>
      <c r="L176" s="1247">
        <v>11766.95</v>
      </c>
      <c r="M176" s="1247">
        <v>11766.95</v>
      </c>
      <c r="N176" s="1247"/>
      <c r="O176" s="1247">
        <v>-11766.95</v>
      </c>
      <c r="P176" s="1247">
        <v>-11766.95</v>
      </c>
      <c r="Q176" s="1246"/>
      <c r="R176" s="1246"/>
      <c r="S176" s="1246"/>
    </row>
    <row r="177" spans="1:19" ht="33.75">
      <c r="A177" s="1245" t="s">
        <v>807</v>
      </c>
      <c r="B177" s="1246"/>
      <c r="C177" s="1246"/>
      <c r="D177" s="1247"/>
      <c r="E177" s="1247">
        <v>5972</v>
      </c>
      <c r="F177" s="1247">
        <v>1493.01</v>
      </c>
      <c r="G177" s="1247">
        <v>5972</v>
      </c>
      <c r="H177" s="1247">
        <v>1493.01</v>
      </c>
      <c r="I177" s="1247">
        <v>4478.99</v>
      </c>
      <c r="K177" s="1245" t="s">
        <v>808</v>
      </c>
      <c r="L177" s="1247">
        <v>10773.73</v>
      </c>
      <c r="M177" s="1247">
        <v>10773.73</v>
      </c>
      <c r="N177" s="1247"/>
      <c r="O177" s="1247">
        <v>-10773.73</v>
      </c>
      <c r="P177" s="1247">
        <v>-10773.73</v>
      </c>
      <c r="Q177" s="1246"/>
      <c r="R177" s="1246"/>
      <c r="S177" s="1246"/>
    </row>
    <row r="178" spans="1:19" ht="33.75">
      <c r="A178" s="1245" t="s">
        <v>809</v>
      </c>
      <c r="B178" s="1246"/>
      <c r="C178" s="1246"/>
      <c r="D178" s="1247"/>
      <c r="E178" s="1247">
        <v>6023</v>
      </c>
      <c r="F178" s="1247">
        <v>1505.79</v>
      </c>
      <c r="G178" s="1247">
        <v>6023</v>
      </c>
      <c r="H178" s="1247">
        <v>1505.79</v>
      </c>
      <c r="I178" s="1247">
        <v>4517.21</v>
      </c>
      <c r="K178" s="1245" t="s">
        <v>810</v>
      </c>
      <c r="L178" s="1247">
        <v>10357.629999999999</v>
      </c>
      <c r="M178" s="1247">
        <v>10357.629999999999</v>
      </c>
      <c r="N178" s="1247"/>
      <c r="O178" s="1247">
        <v>-10357.629999999999</v>
      </c>
      <c r="P178" s="1247">
        <v>-10357.629999999999</v>
      </c>
      <c r="Q178" s="1246"/>
      <c r="R178" s="1246"/>
      <c r="S178" s="1246"/>
    </row>
    <row r="179" spans="1:19" ht="22.5">
      <c r="A179" s="1245" t="s">
        <v>811</v>
      </c>
      <c r="B179" s="1246"/>
      <c r="C179" s="1246"/>
      <c r="D179" s="1247"/>
      <c r="E179" s="1247">
        <v>70338.98</v>
      </c>
      <c r="F179" s="1247">
        <v>4137.6000000000004</v>
      </c>
      <c r="G179" s="1247">
        <v>70338.98</v>
      </c>
      <c r="H179" s="1247">
        <v>4137.6000000000004</v>
      </c>
      <c r="I179" s="1247">
        <v>66201.38</v>
      </c>
      <c r="K179" s="1245" t="s">
        <v>812</v>
      </c>
      <c r="L179" s="1247">
        <v>10509.83</v>
      </c>
      <c r="M179" s="1247">
        <v>10509.83</v>
      </c>
      <c r="N179" s="1247"/>
      <c r="O179" s="1247">
        <v>-10509.83</v>
      </c>
      <c r="P179" s="1247">
        <v>-10509.83</v>
      </c>
      <c r="Q179" s="1246"/>
      <c r="R179" s="1246"/>
      <c r="S179" s="1246"/>
    </row>
    <row r="180" spans="1:19" ht="22.5">
      <c r="A180" s="1245" t="s">
        <v>813</v>
      </c>
      <c r="B180" s="1246"/>
      <c r="C180" s="1246"/>
      <c r="D180" s="1247"/>
      <c r="E180" s="1247">
        <v>22000</v>
      </c>
      <c r="F180" s="1247">
        <v>5499.99</v>
      </c>
      <c r="G180" s="1247">
        <v>22000</v>
      </c>
      <c r="H180" s="1247">
        <v>5499.99</v>
      </c>
      <c r="I180" s="1247">
        <v>16500.009999999998</v>
      </c>
      <c r="K180" s="1245" t="s">
        <v>814</v>
      </c>
      <c r="L180" s="1247">
        <v>10515.26</v>
      </c>
      <c r="M180" s="1247">
        <v>10515.26</v>
      </c>
      <c r="N180" s="1247"/>
      <c r="O180" s="1247">
        <v>-10515.26</v>
      </c>
      <c r="P180" s="1247">
        <v>-10515.26</v>
      </c>
      <c r="Q180" s="1246"/>
      <c r="R180" s="1246"/>
      <c r="S180" s="1246"/>
    </row>
    <row r="181" spans="1:19" ht="22.5">
      <c r="A181" s="1245" t="s">
        <v>815</v>
      </c>
      <c r="B181" s="1246"/>
      <c r="C181" s="1246"/>
      <c r="D181" s="1247"/>
      <c r="E181" s="1247">
        <v>445154.58</v>
      </c>
      <c r="F181" s="1247">
        <v>2473.08</v>
      </c>
      <c r="G181" s="1247">
        <v>445154.58</v>
      </c>
      <c r="H181" s="1247">
        <v>2473.08</v>
      </c>
      <c r="I181" s="1247">
        <v>442681.5</v>
      </c>
      <c r="K181" s="1245" t="s">
        <v>816</v>
      </c>
      <c r="L181" s="1247">
        <v>10509.86</v>
      </c>
      <c r="M181" s="1247">
        <v>10509.86</v>
      </c>
      <c r="N181" s="1247"/>
      <c r="O181" s="1247">
        <v>-10509.86</v>
      </c>
      <c r="P181" s="1247">
        <v>-10509.86</v>
      </c>
      <c r="Q181" s="1246"/>
      <c r="R181" s="1246"/>
      <c r="S181" s="1246"/>
    </row>
    <row r="182" spans="1:19" ht="22.5">
      <c r="A182" s="1245" t="s">
        <v>817</v>
      </c>
      <c r="B182" s="1246"/>
      <c r="C182" s="1246"/>
      <c r="D182" s="1247"/>
      <c r="E182" s="1247">
        <v>2870957.02</v>
      </c>
      <c r="F182" s="1247">
        <v>31899.52</v>
      </c>
      <c r="G182" s="1247">
        <v>2870957.02</v>
      </c>
      <c r="H182" s="1247">
        <v>31899.52</v>
      </c>
      <c r="I182" s="1247">
        <v>2839057.5</v>
      </c>
      <c r="K182" s="1245" t="s">
        <v>1260</v>
      </c>
      <c r="L182" s="1247">
        <v>11493.21</v>
      </c>
      <c r="M182" s="1247">
        <v>11493.21</v>
      </c>
      <c r="N182" s="1247"/>
      <c r="O182" s="1247">
        <v>-11493.21</v>
      </c>
      <c r="P182" s="1247">
        <v>-11493.21</v>
      </c>
      <c r="Q182" s="1246"/>
      <c r="R182" s="1246"/>
      <c r="S182" s="1246"/>
    </row>
    <row r="183" spans="1:19" ht="33.75">
      <c r="A183" s="1245" t="s">
        <v>1261</v>
      </c>
      <c r="B183" s="1246"/>
      <c r="C183" s="1246"/>
      <c r="D183" s="1247"/>
      <c r="E183" s="1247">
        <v>2599026.0299999998</v>
      </c>
      <c r="F183" s="1247">
        <v>14439.03</v>
      </c>
      <c r="G183" s="1247">
        <v>2599026.0299999998</v>
      </c>
      <c r="H183" s="1247">
        <v>14439.03</v>
      </c>
      <c r="I183" s="1247">
        <v>2584587</v>
      </c>
      <c r="K183" s="1245" t="s">
        <v>1262</v>
      </c>
      <c r="L183" s="1247">
        <v>12958.48</v>
      </c>
      <c r="M183" s="1247">
        <v>12958.48</v>
      </c>
      <c r="N183" s="1247"/>
      <c r="O183" s="1247">
        <v>-12958.48</v>
      </c>
      <c r="P183" s="1247">
        <v>-12958.48</v>
      </c>
      <c r="Q183" s="1246"/>
      <c r="R183" s="1246"/>
      <c r="S183" s="1246"/>
    </row>
    <row r="184" spans="1:19" ht="22.5">
      <c r="K184" s="1245" t="s">
        <v>1263</v>
      </c>
      <c r="L184" s="1247">
        <v>10357.629999999999</v>
      </c>
      <c r="M184" s="1247">
        <v>10357.629999999999</v>
      </c>
      <c r="N184" s="1247"/>
      <c r="O184" s="1247">
        <v>-10357.629999999999</v>
      </c>
      <c r="P184" s="1247">
        <v>-10357.629999999999</v>
      </c>
      <c r="Q184" s="1246"/>
      <c r="R184" s="1246"/>
      <c r="S184" s="1246"/>
    </row>
    <row r="185" spans="1:19" ht="22.5">
      <c r="K185" s="1245" t="s">
        <v>1264</v>
      </c>
      <c r="L185" s="1247">
        <v>10071.19</v>
      </c>
      <c r="M185" s="1247">
        <v>10071.19</v>
      </c>
      <c r="N185" s="1247"/>
      <c r="O185" s="1247">
        <v>-10071.19</v>
      </c>
      <c r="P185" s="1247">
        <v>-10071.19</v>
      </c>
      <c r="Q185" s="1246"/>
      <c r="R185" s="1246"/>
      <c r="S185" s="1246"/>
    </row>
    <row r="186" spans="1:19" ht="22.5">
      <c r="K186" s="1245" t="s">
        <v>1264</v>
      </c>
      <c r="L186" s="1247">
        <v>10071.19</v>
      </c>
      <c r="M186" s="1247">
        <v>10071.19</v>
      </c>
      <c r="N186" s="1247"/>
      <c r="O186" s="1247">
        <v>-10071.19</v>
      </c>
      <c r="P186" s="1247">
        <v>-10071.19</v>
      </c>
      <c r="Q186" s="1246"/>
      <c r="R186" s="1246"/>
      <c r="S186" s="1246"/>
    </row>
    <row r="187" spans="1:19" ht="22.5">
      <c r="K187" s="1245" t="s">
        <v>1264</v>
      </c>
      <c r="L187" s="1247">
        <v>10071.18</v>
      </c>
      <c r="M187" s="1247">
        <v>10071.18</v>
      </c>
      <c r="N187" s="1247"/>
      <c r="O187" s="1247">
        <v>-10071.18</v>
      </c>
      <c r="P187" s="1247">
        <v>-10071.18</v>
      </c>
      <c r="Q187" s="1246"/>
      <c r="R187" s="1246"/>
      <c r="S187" s="1246"/>
    </row>
    <row r="188" spans="1:19" ht="22.5">
      <c r="K188" s="1245" t="s">
        <v>1265</v>
      </c>
      <c r="L188" s="1247">
        <v>10798.32</v>
      </c>
      <c r="M188" s="1247">
        <v>10798.32</v>
      </c>
      <c r="N188" s="1247"/>
      <c r="O188" s="1247">
        <v>-10798.32</v>
      </c>
      <c r="P188" s="1247">
        <v>-10798.32</v>
      </c>
      <c r="Q188" s="1246"/>
      <c r="R188" s="1246"/>
      <c r="S188" s="1246"/>
    </row>
    <row r="189" spans="1:19" ht="22.5">
      <c r="K189" s="1245" t="s">
        <v>1266</v>
      </c>
      <c r="L189" s="1247">
        <v>12975.41</v>
      </c>
      <c r="M189" s="1247">
        <v>12975.41</v>
      </c>
      <c r="N189" s="1247"/>
      <c r="O189" s="1247">
        <v>-12975.41</v>
      </c>
      <c r="P189" s="1247">
        <v>-12975.41</v>
      </c>
      <c r="Q189" s="1246"/>
      <c r="R189" s="1246"/>
      <c r="S189" s="1246"/>
    </row>
    <row r="190" spans="1:19" ht="22.5">
      <c r="K190" s="1245" t="s">
        <v>1267</v>
      </c>
      <c r="L190" s="1247">
        <v>11225.43</v>
      </c>
      <c r="M190" s="1247">
        <v>11225.43</v>
      </c>
      <c r="N190" s="1247"/>
      <c r="O190" s="1247">
        <v>-11225.43</v>
      </c>
      <c r="P190" s="1247">
        <v>-11225.43</v>
      </c>
      <c r="Q190" s="1246"/>
      <c r="R190" s="1246"/>
      <c r="S190" s="1246"/>
    </row>
    <row r="191" spans="1:19">
      <c r="K191" s="1245" t="s">
        <v>1268</v>
      </c>
      <c r="L191" s="1247">
        <v>23765.1</v>
      </c>
      <c r="M191" s="1247">
        <v>23765.1</v>
      </c>
      <c r="N191" s="1247"/>
      <c r="O191" s="1247">
        <v>-23765.1</v>
      </c>
      <c r="P191" s="1247">
        <v>-23765.1</v>
      </c>
      <c r="Q191" s="1246"/>
      <c r="R191" s="1246"/>
      <c r="S191" s="1246"/>
    </row>
    <row r="192" spans="1:19">
      <c r="K192" s="1245" t="s">
        <v>1268</v>
      </c>
      <c r="L192" s="1247">
        <v>10863.44</v>
      </c>
      <c r="M192" s="1247">
        <v>10863.44</v>
      </c>
      <c r="N192" s="1247"/>
      <c r="O192" s="1247">
        <v>-10863.44</v>
      </c>
      <c r="P192" s="1247">
        <v>-10863.44</v>
      </c>
      <c r="Q192" s="1246"/>
      <c r="R192" s="1246"/>
      <c r="S192" s="1246"/>
    </row>
    <row r="193" spans="11:19">
      <c r="K193" s="1245" t="s">
        <v>2337</v>
      </c>
      <c r="L193" s="1247">
        <v>13803.79</v>
      </c>
      <c r="M193" s="1247">
        <v>13803.79</v>
      </c>
      <c r="N193" s="1247"/>
      <c r="O193" s="1247">
        <v>-13803.79</v>
      </c>
      <c r="P193" s="1247">
        <v>-13803.79</v>
      </c>
      <c r="Q193" s="1246"/>
      <c r="R193" s="1246"/>
      <c r="S193" s="1246"/>
    </row>
    <row r="194" spans="11:19">
      <c r="K194" s="1245" t="s">
        <v>2337</v>
      </c>
      <c r="L194" s="1247">
        <v>13803.79</v>
      </c>
      <c r="M194" s="1247">
        <v>13803.79</v>
      </c>
      <c r="N194" s="1247"/>
      <c r="O194" s="1247">
        <v>-13803.79</v>
      </c>
      <c r="P194" s="1247">
        <v>-13803.79</v>
      </c>
      <c r="Q194" s="1246"/>
      <c r="R194" s="1246"/>
      <c r="S194" s="1246"/>
    </row>
    <row r="195" spans="11:19">
      <c r="K195" s="1245" t="s">
        <v>2337</v>
      </c>
      <c r="L195" s="1247">
        <v>11953.36</v>
      </c>
      <c r="M195" s="1247">
        <v>11953.36</v>
      </c>
      <c r="N195" s="1247"/>
      <c r="O195" s="1247">
        <v>-11953.36</v>
      </c>
      <c r="P195" s="1247">
        <v>-11953.36</v>
      </c>
      <c r="Q195" s="1246"/>
      <c r="R195" s="1246"/>
      <c r="S195" s="1246"/>
    </row>
    <row r="196" spans="11:19" ht="22.5">
      <c r="K196" s="1245" t="s">
        <v>2338</v>
      </c>
      <c r="L196" s="1247">
        <v>24075.439999999999</v>
      </c>
      <c r="M196" s="1247">
        <v>24075.439999999999</v>
      </c>
      <c r="N196" s="1247"/>
      <c r="O196" s="1247">
        <v>-24075.439999999999</v>
      </c>
      <c r="P196" s="1247">
        <v>-24075.439999999999</v>
      </c>
      <c r="Q196" s="1246"/>
      <c r="R196" s="1246"/>
      <c r="S196" s="1246"/>
    </row>
    <row r="197" spans="11:19" ht="22.5">
      <c r="K197" s="1245" t="s">
        <v>2339</v>
      </c>
      <c r="L197" s="1247">
        <v>11570.34</v>
      </c>
      <c r="M197" s="1247">
        <v>11570.34</v>
      </c>
      <c r="N197" s="1247"/>
      <c r="O197" s="1247">
        <v>-11570.34</v>
      </c>
      <c r="P197" s="1247">
        <v>-11570.34</v>
      </c>
      <c r="Q197" s="1246"/>
      <c r="R197" s="1246"/>
      <c r="S197" s="1246"/>
    </row>
    <row r="198" spans="11:19" ht="22.5">
      <c r="K198" s="1245" t="s">
        <v>2340</v>
      </c>
      <c r="L198" s="1247">
        <v>12661.03</v>
      </c>
      <c r="M198" s="1247">
        <v>12661.03</v>
      </c>
      <c r="N198" s="1247"/>
      <c r="O198" s="1247">
        <v>-12661.03</v>
      </c>
      <c r="P198" s="1247">
        <v>-12661.03</v>
      </c>
      <c r="Q198" s="1246"/>
      <c r="R198" s="1246"/>
      <c r="S198" s="1246"/>
    </row>
    <row r="199" spans="11:19" ht="33.75">
      <c r="K199" s="1245" t="s">
        <v>1971</v>
      </c>
      <c r="L199" s="1247">
        <v>11012.73</v>
      </c>
      <c r="M199" s="1247">
        <v>11012.73</v>
      </c>
      <c r="N199" s="1247"/>
      <c r="O199" s="1247">
        <v>-11012.73</v>
      </c>
      <c r="P199" s="1247">
        <v>-11012.73</v>
      </c>
      <c r="Q199" s="1246"/>
      <c r="R199" s="1246"/>
      <c r="S199" s="1246"/>
    </row>
    <row r="200" spans="11:19" ht="22.5">
      <c r="K200" s="1245" t="s">
        <v>2341</v>
      </c>
      <c r="L200" s="1247">
        <v>11625.42</v>
      </c>
      <c r="M200" s="1247">
        <v>11625.42</v>
      </c>
      <c r="N200" s="1247"/>
      <c r="O200" s="1247">
        <v>-11625.42</v>
      </c>
      <c r="P200" s="1247">
        <v>-11625.42</v>
      </c>
      <c r="Q200" s="1246"/>
      <c r="R200" s="1246"/>
      <c r="S200" s="1246"/>
    </row>
    <row r="201" spans="11:19" ht="22.5">
      <c r="K201" s="1245" t="s">
        <v>2342</v>
      </c>
      <c r="L201" s="1247">
        <v>12281.36</v>
      </c>
      <c r="M201" s="1247">
        <v>12281.36</v>
      </c>
      <c r="N201" s="1247"/>
      <c r="O201" s="1247">
        <v>-12281.36</v>
      </c>
      <c r="P201" s="1247">
        <v>-12281.36</v>
      </c>
      <c r="Q201" s="1246"/>
      <c r="R201" s="1246"/>
      <c r="S201" s="1246"/>
    </row>
    <row r="202" spans="11:19" ht="22.5">
      <c r="K202" s="1245" t="s">
        <v>2342</v>
      </c>
      <c r="L202" s="1247">
        <v>12281.36</v>
      </c>
      <c r="M202" s="1247">
        <v>12281.36</v>
      </c>
      <c r="N202" s="1247"/>
      <c r="O202" s="1247">
        <v>-12281.36</v>
      </c>
      <c r="P202" s="1247">
        <v>-12281.36</v>
      </c>
      <c r="Q202" s="1246"/>
      <c r="R202" s="1246"/>
      <c r="S202" s="1246"/>
    </row>
    <row r="203" spans="11:19" ht="22.5">
      <c r="K203" s="1245" t="s">
        <v>2343</v>
      </c>
      <c r="L203" s="1247">
        <v>11625.43</v>
      </c>
      <c r="M203" s="1247">
        <v>11625.43</v>
      </c>
      <c r="N203" s="1247"/>
      <c r="O203" s="1247">
        <v>-11625.43</v>
      </c>
      <c r="P203" s="1247">
        <v>-11625.43</v>
      </c>
      <c r="Q203" s="1246"/>
      <c r="R203" s="1246"/>
      <c r="S203" s="1246"/>
    </row>
    <row r="204" spans="11:19" ht="22.5">
      <c r="K204" s="1245" t="s">
        <v>2344</v>
      </c>
      <c r="L204" s="1247">
        <v>25946.61</v>
      </c>
      <c r="M204" s="1247">
        <v>25946.61</v>
      </c>
      <c r="N204" s="1247"/>
      <c r="O204" s="1247">
        <v>-25946.61</v>
      </c>
      <c r="P204" s="1247">
        <v>-25946.61</v>
      </c>
      <c r="Q204" s="1246"/>
      <c r="R204" s="1246"/>
      <c r="S204" s="1246"/>
    </row>
    <row r="205" spans="11:19">
      <c r="K205" s="1245" t="s">
        <v>2345</v>
      </c>
      <c r="L205" s="1247">
        <v>37203.39</v>
      </c>
      <c r="M205" s="1247">
        <v>37203.39</v>
      </c>
      <c r="N205" s="1247"/>
      <c r="O205" s="1247">
        <v>-37203.39</v>
      </c>
      <c r="P205" s="1247">
        <v>-37203.39</v>
      </c>
      <c r="Q205" s="1246"/>
      <c r="R205" s="1246"/>
      <c r="S205" s="1246"/>
    </row>
    <row r="206" spans="11:19">
      <c r="K206" s="1245" t="s">
        <v>2346</v>
      </c>
      <c r="L206" s="1247">
        <v>21577.119999999999</v>
      </c>
      <c r="M206" s="1247">
        <v>21577.119999999999</v>
      </c>
      <c r="N206" s="1247"/>
      <c r="O206" s="1247">
        <v>-21577.119999999999</v>
      </c>
      <c r="P206" s="1247">
        <v>-21577.119999999999</v>
      </c>
      <c r="Q206" s="1246"/>
      <c r="R206" s="1246"/>
      <c r="S206" s="1246"/>
    </row>
    <row r="207" spans="11:19">
      <c r="K207" s="1245" t="s">
        <v>2347</v>
      </c>
      <c r="L207" s="1247">
        <v>21588.98</v>
      </c>
      <c r="M207" s="1247">
        <v>21588.98</v>
      </c>
      <c r="N207" s="1247"/>
      <c r="O207" s="1247">
        <v>-21588.98</v>
      </c>
      <c r="P207" s="1247">
        <v>-21588.98</v>
      </c>
      <c r="Q207" s="1246"/>
      <c r="R207" s="1246"/>
      <c r="S207" s="1246"/>
    </row>
    <row r="208" spans="11:19">
      <c r="K208" s="1245" t="s">
        <v>2348</v>
      </c>
      <c r="L208" s="1247">
        <v>11690.06</v>
      </c>
      <c r="M208" s="1247">
        <v>11690.06</v>
      </c>
      <c r="N208" s="1247"/>
      <c r="O208" s="1247">
        <v>-11690.06</v>
      </c>
      <c r="P208" s="1247">
        <v>-11690.06</v>
      </c>
      <c r="Q208" s="1246"/>
      <c r="R208" s="1246"/>
      <c r="S208" s="1246"/>
    </row>
    <row r="209" spans="1:19" ht="22.5">
      <c r="K209" s="1245" t="s">
        <v>2349</v>
      </c>
      <c r="L209" s="1247">
        <v>34227.97</v>
      </c>
      <c r="M209" s="1247">
        <v>34227.97</v>
      </c>
      <c r="N209" s="1247"/>
      <c r="O209" s="1247">
        <v>-34227.97</v>
      </c>
      <c r="P209" s="1247">
        <v>-34227.97</v>
      </c>
      <c r="Q209" s="1246"/>
      <c r="R209" s="1246"/>
      <c r="S209" s="1246"/>
    </row>
    <row r="210" spans="1:19" ht="22.5">
      <c r="K210" s="1245" t="s">
        <v>2350</v>
      </c>
      <c r="L210" s="1247">
        <v>120338.98</v>
      </c>
      <c r="M210" s="1247">
        <v>120338.98</v>
      </c>
      <c r="N210" s="1247"/>
      <c r="O210" s="1247">
        <v>-120338.98</v>
      </c>
      <c r="P210" s="1247">
        <v>-120338.98</v>
      </c>
      <c r="Q210" s="1246"/>
      <c r="R210" s="1246"/>
      <c r="S210" s="1246"/>
    </row>
    <row r="211" spans="1:19">
      <c r="K211" s="1245" t="s">
        <v>2351</v>
      </c>
      <c r="L211" s="1247">
        <v>11485.5</v>
      </c>
      <c r="M211" s="1247">
        <v>11485.5</v>
      </c>
      <c r="N211" s="1247"/>
      <c r="O211" s="1247">
        <v>-11485.5</v>
      </c>
      <c r="P211" s="1247">
        <v>-11485.5</v>
      </c>
      <c r="Q211" s="1246"/>
      <c r="R211" s="1246"/>
      <c r="S211" s="1246"/>
    </row>
    <row r="212" spans="1:19" ht="22.5">
      <c r="K212" s="1245" t="s">
        <v>2352</v>
      </c>
      <c r="L212" s="1247">
        <v>43913</v>
      </c>
      <c r="M212" s="1247">
        <v>43913</v>
      </c>
      <c r="N212" s="1247"/>
      <c r="O212" s="1247">
        <v>-43913</v>
      </c>
      <c r="P212" s="1247">
        <v>-43913</v>
      </c>
      <c r="Q212" s="1246"/>
      <c r="R212" s="1246"/>
      <c r="S212" s="1246"/>
    </row>
    <row r="213" spans="1:19">
      <c r="A213" s="1248"/>
      <c r="B213" s="1248"/>
      <c r="C213" s="1248"/>
      <c r="D213" s="1248"/>
      <c r="E213" s="1248"/>
      <c r="F213" s="1248"/>
      <c r="G213" s="1248"/>
      <c r="H213" s="1248"/>
      <c r="I213" s="1248"/>
      <c r="J213" s="1248"/>
      <c r="K213" s="1248"/>
      <c r="L213" s="1248"/>
      <c r="M213" s="1248"/>
      <c r="N213" s="1248"/>
      <c r="O213" s="1248"/>
      <c r="P213" s="1248"/>
    </row>
    <row r="214" spans="1:19">
      <c r="E214" s="1248"/>
      <c r="F214" s="1248"/>
    </row>
    <row r="215" spans="1:19" ht="18">
      <c r="A215" s="1209" t="s">
        <v>1459</v>
      </c>
      <c r="B215" s="1235"/>
      <c r="C215" s="1235"/>
      <c r="D215" s="1235"/>
      <c r="E215" s="1235"/>
      <c r="F215" s="1235"/>
      <c r="G215" s="1235"/>
      <c r="H215" s="1235"/>
      <c r="I215" s="1235"/>
      <c r="K215" s="1236" t="s">
        <v>1459</v>
      </c>
      <c r="L215" s="1235"/>
      <c r="M215" s="1235"/>
      <c r="N215" s="1235"/>
      <c r="O215" s="1235"/>
      <c r="P215" s="1235"/>
      <c r="Q215" s="1235"/>
      <c r="R215" s="1235"/>
      <c r="S215" s="1235"/>
    </row>
    <row r="216" spans="1:19" ht="15.75">
      <c r="A216" s="1947" t="s">
        <v>10</v>
      </c>
      <c r="B216" s="1947"/>
      <c r="C216" s="1947"/>
      <c r="D216" s="1947"/>
      <c r="E216" s="1947"/>
      <c r="F216" s="1947"/>
      <c r="G216" s="1947"/>
      <c r="H216" s="1947"/>
      <c r="I216" s="1947"/>
      <c r="K216" s="1238" t="s">
        <v>1711</v>
      </c>
      <c r="L216" s="1237"/>
      <c r="M216" s="1237"/>
      <c r="N216" s="1237"/>
      <c r="O216" s="1237"/>
      <c r="P216" s="1237"/>
      <c r="Q216" s="1237"/>
      <c r="R216" s="1237"/>
      <c r="S216" s="1237"/>
    </row>
    <row r="217" spans="1:19" ht="15.75">
      <c r="A217" s="1947" t="s">
        <v>2353</v>
      </c>
      <c r="B217" s="1947"/>
      <c r="C217" s="1947"/>
      <c r="D217" s="1947"/>
      <c r="E217" s="1947"/>
      <c r="F217" s="1947"/>
      <c r="G217" s="1947"/>
      <c r="H217" s="1947"/>
      <c r="I217" s="1947"/>
      <c r="K217" s="1238" t="s">
        <v>1707</v>
      </c>
      <c r="L217" s="1237"/>
      <c r="M217" s="1237"/>
      <c r="N217" s="1237"/>
      <c r="O217" s="1237"/>
      <c r="P217" s="1237"/>
      <c r="Q217" s="1237"/>
      <c r="R217" s="1237"/>
      <c r="S217" s="1237"/>
    </row>
    <row r="219" spans="1:19">
      <c r="A219" s="1222" t="s">
        <v>1713</v>
      </c>
      <c r="B219" s="1239" t="s">
        <v>1694</v>
      </c>
      <c r="C219" s="1239"/>
      <c r="D219" s="1239"/>
      <c r="E219" s="1239" t="s">
        <v>1695</v>
      </c>
      <c r="F219" s="1239"/>
      <c r="G219" s="1239" t="s">
        <v>1696</v>
      </c>
      <c r="H219" s="1239"/>
      <c r="I219" s="1239"/>
      <c r="K219" s="1222" t="s">
        <v>1713</v>
      </c>
      <c r="L219" s="1239" t="s">
        <v>1694</v>
      </c>
      <c r="M219" s="1239"/>
      <c r="N219" s="1239"/>
      <c r="O219" s="1239" t="s">
        <v>1695</v>
      </c>
      <c r="P219" s="1239"/>
      <c r="Q219" s="1239" t="s">
        <v>1696</v>
      </c>
      <c r="R219" s="1239"/>
      <c r="S219" s="1239"/>
    </row>
    <row r="220" spans="1:19" ht="29.25">
      <c r="A220" s="1206" t="s">
        <v>1714</v>
      </c>
      <c r="B220" s="1241" t="s">
        <v>1697</v>
      </c>
      <c r="C220" s="1241" t="s">
        <v>1698</v>
      </c>
      <c r="D220" s="1241" t="s">
        <v>1699</v>
      </c>
      <c r="E220" s="1241" t="s">
        <v>1700</v>
      </c>
      <c r="F220" s="1241" t="s">
        <v>1701</v>
      </c>
      <c r="G220" s="1241" t="s">
        <v>1697</v>
      </c>
      <c r="H220" s="1241" t="s">
        <v>1698</v>
      </c>
      <c r="I220" s="1241" t="s">
        <v>1699</v>
      </c>
      <c r="K220" s="1206" t="s">
        <v>1714</v>
      </c>
      <c r="L220" s="1241" t="s">
        <v>1697</v>
      </c>
      <c r="M220" s="1241" t="s">
        <v>1698</v>
      </c>
      <c r="N220" s="1241" t="s">
        <v>1699</v>
      </c>
      <c r="O220" s="1241" t="s">
        <v>1700</v>
      </c>
      <c r="P220" s="1241" t="s">
        <v>1701</v>
      </c>
      <c r="Q220" s="1241" t="s">
        <v>1697</v>
      </c>
      <c r="R220" s="1241" t="s">
        <v>1698</v>
      </c>
      <c r="S220" s="1241" t="s">
        <v>1699</v>
      </c>
    </row>
    <row r="221" spans="1:19" ht="22.5">
      <c r="A221" s="1245" t="s">
        <v>2354</v>
      </c>
      <c r="B221" s="1247">
        <v>748716.1</v>
      </c>
      <c r="C221" s="1247"/>
      <c r="D221" s="1247">
        <f>B221-C221</f>
        <v>748716.1</v>
      </c>
      <c r="E221" s="1247">
        <v>748716.1</v>
      </c>
      <c r="F221" s="1247">
        <v>99828.800000000003</v>
      </c>
      <c r="G221" s="1247">
        <v>748716.1</v>
      </c>
      <c r="H221" s="1247">
        <v>99828.800000000003</v>
      </c>
      <c r="I221" s="1247">
        <v>648887.30000000005</v>
      </c>
      <c r="J221" s="1249"/>
      <c r="K221" s="1245" t="s">
        <v>2355</v>
      </c>
      <c r="L221" s="1247">
        <v>41186.44</v>
      </c>
      <c r="M221" s="1247">
        <v>41186.44</v>
      </c>
      <c r="N221" s="1247"/>
      <c r="O221" s="1247">
        <v>-41186.44</v>
      </c>
      <c r="P221" s="1247">
        <v>-41186.44</v>
      </c>
      <c r="Q221" s="1247"/>
      <c r="R221" s="1247"/>
      <c r="S221" s="1247"/>
    </row>
    <row r="222" spans="1:19">
      <c r="A222" s="1245" t="s">
        <v>2356</v>
      </c>
      <c r="B222" s="1247">
        <v>588783.22</v>
      </c>
      <c r="C222" s="1247">
        <v>92868.51</v>
      </c>
      <c r="D222" s="1247">
        <f>B222-C222</f>
        <v>495914.70999999996</v>
      </c>
      <c r="E222" s="1247">
        <v>1007727.25</v>
      </c>
      <c r="F222" s="1247">
        <v>56159.41</v>
      </c>
      <c r="G222" s="1247">
        <v>1596510.47</v>
      </c>
      <c r="H222" s="1247">
        <v>149027.92000000001</v>
      </c>
      <c r="I222" s="1247">
        <v>1447482.55</v>
      </c>
      <c r="J222" s="1249"/>
    </row>
    <row r="223" spans="1:19">
      <c r="A223" s="1245" t="s">
        <v>2357</v>
      </c>
      <c r="B223" s="1247">
        <v>57135.59</v>
      </c>
      <c r="C223" s="1247"/>
      <c r="D223" s="1247">
        <f>B223-C223</f>
        <v>57135.59</v>
      </c>
      <c r="E223" s="1247">
        <v>57135.59</v>
      </c>
      <c r="F223" s="1247">
        <v>2016.54</v>
      </c>
      <c r="G223" s="1247">
        <v>57135.59</v>
      </c>
      <c r="H223" s="1247">
        <v>2016.54</v>
      </c>
      <c r="I223" s="1247">
        <v>55119.05</v>
      </c>
      <c r="J223" s="1249"/>
    </row>
    <row r="224" spans="1:19">
      <c r="A224" s="1245" t="s">
        <v>2358</v>
      </c>
      <c r="B224" s="1247">
        <v>24535</v>
      </c>
      <c r="C224" s="1247">
        <v>24535</v>
      </c>
      <c r="D224" s="1247">
        <f>B224-C224</f>
        <v>0</v>
      </c>
      <c r="E224" s="1247">
        <v>3075797.36</v>
      </c>
      <c r="F224" s="1247">
        <v>128158.2</v>
      </c>
      <c r="G224" s="1247">
        <v>3100332.36</v>
      </c>
      <c r="H224" s="1247">
        <v>152693.20000000001</v>
      </c>
      <c r="I224" s="1247">
        <v>2947639.16</v>
      </c>
      <c r="J224" s="1249"/>
    </row>
    <row r="225" spans="1:19" ht="22.5">
      <c r="A225" s="1245" t="s">
        <v>2359</v>
      </c>
      <c r="B225" s="1247">
        <v>3756879.98</v>
      </c>
      <c r="C225" s="1247"/>
      <c r="D225" s="1247">
        <f>B225-C225</f>
        <v>3756879.98</v>
      </c>
      <c r="E225" s="1247">
        <v>3756879.98</v>
      </c>
      <c r="F225" s="1247">
        <v>41743.120000000003</v>
      </c>
      <c r="G225" s="1247">
        <v>3756879.98</v>
      </c>
      <c r="H225" s="1247">
        <v>41743.120000000003</v>
      </c>
      <c r="I225" s="1247">
        <v>3715136.86</v>
      </c>
      <c r="J225" s="1249"/>
    </row>
    <row r="227" spans="1:19" ht="18">
      <c r="A227" s="1209" t="s">
        <v>1459</v>
      </c>
      <c r="B227" s="1235"/>
      <c r="C227" s="1235"/>
      <c r="D227" s="1235"/>
      <c r="E227" s="1235"/>
      <c r="F227" s="1235"/>
      <c r="G227" s="1235"/>
      <c r="H227" s="1235"/>
      <c r="I227" s="1235"/>
      <c r="K227" s="1236" t="s">
        <v>1459</v>
      </c>
      <c r="L227" s="1235"/>
      <c r="M227" s="1235"/>
      <c r="N227" s="1235"/>
      <c r="O227" s="1235"/>
      <c r="P227" s="1235"/>
      <c r="Q227" s="1235"/>
      <c r="R227" s="1235"/>
      <c r="S227" s="1235"/>
    </row>
    <row r="228" spans="1:19" ht="15.75">
      <c r="A228" s="1947" t="s">
        <v>10</v>
      </c>
      <c r="B228" s="1947"/>
      <c r="C228" s="1947"/>
      <c r="D228" s="1947"/>
      <c r="E228" s="1947"/>
      <c r="F228" s="1947"/>
      <c r="G228" s="1947"/>
      <c r="H228" s="1947"/>
      <c r="I228" s="1947"/>
      <c r="K228" s="1238" t="s">
        <v>1711</v>
      </c>
      <c r="L228" s="1237"/>
      <c r="M228" s="1237"/>
      <c r="N228" s="1237"/>
      <c r="O228" s="1237"/>
      <c r="P228" s="1237"/>
      <c r="Q228" s="1237"/>
      <c r="R228" s="1237"/>
      <c r="S228" s="1237"/>
    </row>
    <row r="229" spans="1:19" ht="15.75">
      <c r="A229" s="1947" t="s">
        <v>2360</v>
      </c>
      <c r="B229" s="1947"/>
      <c r="C229" s="1947"/>
      <c r="D229" s="1947"/>
      <c r="E229" s="1947"/>
      <c r="F229" s="1947"/>
      <c r="G229" s="1947"/>
      <c r="H229" s="1947"/>
      <c r="I229" s="1947"/>
      <c r="K229" s="1238" t="s">
        <v>1708</v>
      </c>
      <c r="L229" s="1237"/>
      <c r="M229" s="1237"/>
      <c r="N229" s="1237"/>
      <c r="O229" s="1237"/>
      <c r="P229" s="1237"/>
      <c r="Q229" s="1237"/>
      <c r="R229" s="1237"/>
      <c r="S229" s="1237"/>
    </row>
    <row r="231" spans="1:19">
      <c r="A231" s="1222" t="s">
        <v>1713</v>
      </c>
      <c r="B231" s="1239" t="s">
        <v>1694</v>
      </c>
      <c r="C231" s="1239"/>
      <c r="D231" s="1239"/>
      <c r="E231" s="1239" t="s">
        <v>1695</v>
      </c>
      <c r="F231" s="1239"/>
      <c r="G231" s="1239" t="s">
        <v>1696</v>
      </c>
      <c r="H231" s="1239"/>
      <c r="I231" s="1239"/>
      <c r="J231" s="1249"/>
      <c r="K231" s="1222" t="s">
        <v>1713</v>
      </c>
      <c r="L231" s="1239" t="s">
        <v>1694</v>
      </c>
      <c r="M231" s="1239"/>
      <c r="N231" s="1239"/>
      <c r="O231" s="1239" t="s">
        <v>1695</v>
      </c>
      <c r="P231" s="1239"/>
      <c r="Q231" s="1239" t="s">
        <v>1696</v>
      </c>
      <c r="R231" s="1239"/>
      <c r="S231" s="1239"/>
    </row>
    <row r="232" spans="1:19" ht="29.25">
      <c r="A232" s="1206" t="s">
        <v>1714</v>
      </c>
      <c r="B232" s="1241" t="s">
        <v>1697</v>
      </c>
      <c r="C232" s="1241" t="s">
        <v>1698</v>
      </c>
      <c r="D232" s="1241" t="s">
        <v>1699</v>
      </c>
      <c r="E232" s="1241" t="s">
        <v>1700</v>
      </c>
      <c r="F232" s="1241" t="s">
        <v>1701</v>
      </c>
      <c r="G232" s="1241" t="s">
        <v>1697</v>
      </c>
      <c r="H232" s="1241" t="s">
        <v>1698</v>
      </c>
      <c r="I232" s="1241" t="s">
        <v>1699</v>
      </c>
      <c r="J232" s="1249"/>
      <c r="K232" s="1206" t="s">
        <v>1714</v>
      </c>
      <c r="L232" s="1241" t="s">
        <v>1697</v>
      </c>
      <c r="M232" s="1241" t="s">
        <v>1698</v>
      </c>
      <c r="N232" s="1241" t="s">
        <v>1699</v>
      </c>
      <c r="O232" s="1241" t="s">
        <v>1700</v>
      </c>
      <c r="P232" s="1241" t="s">
        <v>1701</v>
      </c>
      <c r="Q232" s="1241" t="s">
        <v>1697</v>
      </c>
      <c r="R232" s="1241" t="s">
        <v>1698</v>
      </c>
      <c r="S232" s="1241" t="s">
        <v>1699</v>
      </c>
    </row>
    <row r="233" spans="1:19" ht="22.5">
      <c r="A233" s="1245" t="s">
        <v>2361</v>
      </c>
      <c r="B233" s="1247">
        <v>293806.40000000002</v>
      </c>
      <c r="C233" s="1247"/>
      <c r="D233" s="1247">
        <f>B233-C233</f>
        <v>293806.40000000002</v>
      </c>
      <c r="E233" s="1247">
        <v>293806.40000000002</v>
      </c>
      <c r="F233" s="1247">
        <v>44070.95</v>
      </c>
      <c r="G233" s="1247">
        <v>293806.40000000002</v>
      </c>
      <c r="H233" s="1247">
        <v>44070.95</v>
      </c>
      <c r="I233" s="1247">
        <v>249735.45</v>
      </c>
      <c r="J233" s="1249"/>
      <c r="K233" s="1245" t="s">
        <v>2362</v>
      </c>
      <c r="L233" s="1247">
        <v>109110.17</v>
      </c>
      <c r="M233" s="1247">
        <v>109110.17</v>
      </c>
      <c r="N233" s="1247">
        <f>L233-M233</f>
        <v>0</v>
      </c>
      <c r="O233" s="1247">
        <v>-109110.17</v>
      </c>
      <c r="P233" s="1247">
        <v>-109110.17</v>
      </c>
      <c r="Q233" s="1247"/>
      <c r="R233" s="1247"/>
      <c r="S233" s="1247"/>
    </row>
    <row r="234" spans="1:19">
      <c r="A234" s="1245" t="s">
        <v>2363</v>
      </c>
      <c r="B234" s="1247">
        <v>18749</v>
      </c>
      <c r="C234" s="1247">
        <v>18749</v>
      </c>
      <c r="D234" s="1247">
        <f t="shared" ref="D234:D246" si="0">B234-C234</f>
        <v>0</v>
      </c>
      <c r="E234" s="1247">
        <v>8209063.9900000002</v>
      </c>
      <c r="F234" s="1247"/>
      <c r="G234" s="1247">
        <v>8227812.9900000002</v>
      </c>
      <c r="H234" s="1247">
        <v>18749</v>
      </c>
      <c r="I234" s="1247">
        <v>8209063.9900000002</v>
      </c>
      <c r="J234" s="1249"/>
    </row>
    <row r="235" spans="1:19">
      <c r="A235" s="1245" t="s">
        <v>2364</v>
      </c>
      <c r="B235" s="1247">
        <v>323226.45</v>
      </c>
      <c r="C235" s="1247"/>
      <c r="D235" s="1247">
        <f t="shared" si="0"/>
        <v>323226.45</v>
      </c>
      <c r="E235" s="1247">
        <v>323226.45</v>
      </c>
      <c r="F235" s="1247"/>
      <c r="G235" s="1247">
        <v>323226.45</v>
      </c>
      <c r="H235" s="1247"/>
      <c r="I235" s="1247">
        <v>323226.45</v>
      </c>
      <c r="J235" s="1249"/>
    </row>
    <row r="236" spans="1:19">
      <c r="A236" s="1245" t="s">
        <v>2365</v>
      </c>
      <c r="B236" s="1247">
        <v>540864</v>
      </c>
      <c r="C236" s="1247">
        <v>110864.6</v>
      </c>
      <c r="D236" s="1247">
        <f t="shared" si="0"/>
        <v>429999.4</v>
      </c>
      <c r="E236" s="1247">
        <v>421811.03</v>
      </c>
      <c r="F236" s="1247">
        <v>9502.68</v>
      </c>
      <c r="G236" s="1247">
        <v>962675.03</v>
      </c>
      <c r="H236" s="1247">
        <v>120367.28</v>
      </c>
      <c r="I236" s="1247">
        <v>842307.75</v>
      </c>
      <c r="J236" s="1249"/>
    </row>
    <row r="237" spans="1:19">
      <c r="A237" s="1245" t="s">
        <v>2366</v>
      </c>
      <c r="B237" s="1247">
        <v>171186.44</v>
      </c>
      <c r="C237" s="1247"/>
      <c r="D237" s="1247">
        <f t="shared" si="0"/>
        <v>171186.44</v>
      </c>
      <c r="E237" s="1247">
        <v>171186.44</v>
      </c>
      <c r="F237" s="1247">
        <v>64194.93</v>
      </c>
      <c r="G237" s="1247">
        <v>171186.44</v>
      </c>
      <c r="H237" s="1247">
        <v>64194.93</v>
      </c>
      <c r="I237" s="1247">
        <v>106991.51</v>
      </c>
      <c r="J237" s="1249"/>
    </row>
    <row r="238" spans="1:19" ht="22.5">
      <c r="A238" s="1245" t="s">
        <v>2367</v>
      </c>
      <c r="B238" s="1247">
        <v>3202372.88</v>
      </c>
      <c r="C238" s="1247"/>
      <c r="D238" s="1247">
        <f t="shared" si="0"/>
        <v>3202372.88</v>
      </c>
      <c r="E238" s="1247">
        <v>3202372.88</v>
      </c>
      <c r="F238" s="1247"/>
      <c r="G238" s="1247">
        <v>3202372.88</v>
      </c>
      <c r="H238" s="1247"/>
      <c r="I238" s="1247">
        <v>3202372.88</v>
      </c>
      <c r="J238" s="1249"/>
    </row>
    <row r="239" spans="1:19">
      <c r="A239" s="1245" t="s">
        <v>2368</v>
      </c>
      <c r="B239" s="1247">
        <v>582623.53</v>
      </c>
      <c r="C239" s="1247"/>
      <c r="D239" s="1247">
        <f t="shared" si="0"/>
        <v>582623.53</v>
      </c>
      <c r="E239" s="1247">
        <v>582623.53</v>
      </c>
      <c r="F239" s="1247"/>
      <c r="G239" s="1247">
        <v>582623.53</v>
      </c>
      <c r="H239" s="1247"/>
      <c r="I239" s="1247">
        <v>582623.53</v>
      </c>
      <c r="J239" s="1249"/>
    </row>
    <row r="240" spans="1:19">
      <c r="A240" s="1245" t="s">
        <v>2369</v>
      </c>
      <c r="B240" s="1247">
        <v>3734619.29</v>
      </c>
      <c r="C240" s="1247"/>
      <c r="D240" s="1247">
        <f t="shared" si="0"/>
        <v>3734619.29</v>
      </c>
      <c r="E240" s="1247">
        <v>3734619.29</v>
      </c>
      <c r="F240" s="1247">
        <v>311218.3</v>
      </c>
      <c r="G240" s="1247">
        <v>3734619.29</v>
      </c>
      <c r="H240" s="1247">
        <v>311218.3</v>
      </c>
      <c r="I240" s="1247">
        <v>3423400.99</v>
      </c>
      <c r="J240" s="1249"/>
    </row>
    <row r="241" spans="1:19" ht="22.5">
      <c r="A241" s="1245" t="s">
        <v>2370</v>
      </c>
      <c r="B241" s="1247">
        <v>2245635.14</v>
      </c>
      <c r="C241" s="1247"/>
      <c r="D241" s="1247">
        <f t="shared" si="0"/>
        <v>2245635.14</v>
      </c>
      <c r="E241" s="1247">
        <v>2245635.14</v>
      </c>
      <c r="F241" s="1247">
        <v>37427.25</v>
      </c>
      <c r="G241" s="1247">
        <v>2245635.14</v>
      </c>
      <c r="H241" s="1247">
        <v>37427.25</v>
      </c>
      <c r="I241" s="1247">
        <v>2208207.89</v>
      </c>
      <c r="J241" s="1249"/>
    </row>
    <row r="242" spans="1:19" ht="22.5">
      <c r="A242" s="1245" t="s">
        <v>4186</v>
      </c>
      <c r="B242" s="1247">
        <v>110084.75</v>
      </c>
      <c r="C242" s="1247"/>
      <c r="D242" s="1247">
        <f t="shared" si="0"/>
        <v>110084.75</v>
      </c>
      <c r="E242" s="1247">
        <v>110084.75</v>
      </c>
      <c r="F242" s="1247">
        <v>9173.7199999999993</v>
      </c>
      <c r="G242" s="1247">
        <v>110084.75</v>
      </c>
      <c r="H242" s="1247">
        <v>9173.7199999999993</v>
      </c>
      <c r="I242" s="1247">
        <v>100911.03</v>
      </c>
      <c r="J242" s="1249"/>
    </row>
    <row r="243" spans="1:19">
      <c r="A243" s="1245" t="s">
        <v>4187</v>
      </c>
      <c r="B243" s="1247">
        <v>246080.5</v>
      </c>
      <c r="C243" s="1247"/>
      <c r="D243" s="1247">
        <f t="shared" si="0"/>
        <v>246080.5</v>
      </c>
      <c r="E243" s="1247">
        <v>246080.5</v>
      </c>
      <c r="F243" s="1247"/>
      <c r="G243" s="1247">
        <v>246080.5</v>
      </c>
      <c r="H243" s="1247"/>
      <c r="I243" s="1247">
        <v>246080.5</v>
      </c>
      <c r="J243" s="1249"/>
    </row>
    <row r="244" spans="1:19">
      <c r="A244" s="1245" t="s">
        <v>4188</v>
      </c>
      <c r="B244" s="1247">
        <v>246145.67</v>
      </c>
      <c r="C244" s="1247"/>
      <c r="D244" s="1247">
        <f t="shared" si="0"/>
        <v>246145.67</v>
      </c>
      <c r="E244" s="1247">
        <v>246145.67</v>
      </c>
      <c r="F244" s="1247"/>
      <c r="G244" s="1247">
        <v>246145.67</v>
      </c>
      <c r="H244" s="1247"/>
      <c r="I244" s="1247">
        <v>246145.67</v>
      </c>
      <c r="J244" s="1249"/>
    </row>
    <row r="245" spans="1:19">
      <c r="A245" s="1245" t="s">
        <v>4189</v>
      </c>
      <c r="B245" s="1247">
        <v>3787118.9</v>
      </c>
      <c r="C245" s="1247"/>
      <c r="D245" s="1247">
        <f t="shared" si="0"/>
        <v>3787118.9</v>
      </c>
      <c r="E245" s="1247">
        <v>3787118.9</v>
      </c>
      <c r="F245" s="1247">
        <v>124850.1</v>
      </c>
      <c r="G245" s="1247">
        <v>3787118.9</v>
      </c>
      <c r="H245" s="1247">
        <v>124850.1</v>
      </c>
      <c r="I245" s="1247">
        <v>3662268.8</v>
      </c>
    </row>
    <row r="246" spans="1:19">
      <c r="A246" s="1245" t="s">
        <v>4190</v>
      </c>
      <c r="B246" s="1247">
        <v>850786.84</v>
      </c>
      <c r="C246" s="1247">
        <v>179610.84</v>
      </c>
      <c r="D246" s="1247">
        <f t="shared" si="0"/>
        <v>671176</v>
      </c>
      <c r="E246" s="1247">
        <v>273358.94</v>
      </c>
      <c r="F246" s="1247">
        <v>31510.68</v>
      </c>
      <c r="G246" s="1247">
        <v>1124145.78</v>
      </c>
      <c r="H246" s="1247">
        <v>211121.52</v>
      </c>
      <c r="I246" s="1247">
        <v>913024.26</v>
      </c>
    </row>
    <row r="248" spans="1:19" ht="18">
      <c r="A248" s="1209" t="s">
        <v>1459</v>
      </c>
      <c r="B248" s="1235"/>
      <c r="C248" s="1235"/>
      <c r="D248" s="1235"/>
      <c r="E248" s="1235"/>
      <c r="F248" s="1235"/>
      <c r="G248" s="1235"/>
      <c r="H248" s="1235"/>
      <c r="I248" s="1235"/>
      <c r="J248" s="1487"/>
      <c r="K248" s="1236" t="s">
        <v>1459</v>
      </c>
      <c r="L248" s="1235"/>
      <c r="M248" s="1235"/>
      <c r="N248" s="1235"/>
      <c r="O248" s="1235"/>
      <c r="P248" s="1235"/>
      <c r="Q248" s="1235"/>
      <c r="R248" s="1235"/>
      <c r="S248" s="1235"/>
    </row>
    <row r="249" spans="1:19" ht="15.75">
      <c r="A249" s="1947" t="s">
        <v>10</v>
      </c>
      <c r="B249" s="1947"/>
      <c r="C249" s="1947"/>
      <c r="D249" s="1947"/>
      <c r="E249" s="1947"/>
      <c r="F249" s="1947"/>
      <c r="G249" s="1947"/>
      <c r="H249" s="1947"/>
      <c r="I249" s="1947"/>
      <c r="J249" s="1487"/>
      <c r="K249" s="1238" t="s">
        <v>1711</v>
      </c>
      <c r="L249" s="1237"/>
      <c r="M249" s="1237"/>
      <c r="N249" s="1237"/>
      <c r="O249" s="1237"/>
      <c r="P249" s="1237"/>
      <c r="Q249" s="1237"/>
      <c r="R249" s="1237"/>
      <c r="S249" s="1237"/>
    </row>
    <row r="250" spans="1:19" ht="15.75">
      <c r="A250" s="1947" t="s">
        <v>5072</v>
      </c>
      <c r="B250" s="1947"/>
      <c r="C250" s="1947"/>
      <c r="D250" s="1947"/>
      <c r="E250" s="1947"/>
      <c r="F250" s="1947"/>
      <c r="G250" s="1947"/>
      <c r="H250" s="1947"/>
      <c r="I250" s="1947"/>
      <c r="J250" s="1487"/>
      <c r="K250" s="1238" t="s">
        <v>5071</v>
      </c>
      <c r="L250" s="1237"/>
      <c r="M250" s="1237"/>
      <c r="N250" s="1237"/>
      <c r="O250" s="1237"/>
      <c r="P250" s="1237"/>
      <c r="Q250" s="1237"/>
      <c r="R250" s="1237"/>
      <c r="S250" s="1237"/>
    </row>
    <row r="251" spans="1:19">
      <c r="A251" s="1487"/>
      <c r="B251" s="1487"/>
      <c r="C251" s="1487"/>
      <c r="D251" s="1487"/>
      <c r="E251" s="1487"/>
      <c r="F251" s="1487"/>
      <c r="G251" s="1487"/>
      <c r="H251" s="1487"/>
      <c r="I251" s="1487"/>
      <c r="J251" s="1487"/>
      <c r="K251" s="1487"/>
      <c r="L251" s="1487"/>
      <c r="M251" s="1487"/>
      <c r="N251" s="1487"/>
      <c r="O251" s="1487"/>
      <c r="P251" s="1487"/>
      <c r="Q251" s="1487"/>
      <c r="R251" s="1487"/>
      <c r="S251" s="1487"/>
    </row>
    <row r="252" spans="1:19">
      <c r="A252" s="1222" t="s">
        <v>1713</v>
      </c>
      <c r="B252" s="1239" t="s">
        <v>1694</v>
      </c>
      <c r="C252" s="1239"/>
      <c r="D252" s="1239"/>
      <c r="E252" s="1239" t="s">
        <v>1695</v>
      </c>
      <c r="F252" s="1239"/>
      <c r="G252" s="1239" t="s">
        <v>1696</v>
      </c>
      <c r="H252" s="1239"/>
      <c r="I252" s="1239"/>
      <c r="J252" s="1249"/>
      <c r="K252" s="1222" t="s">
        <v>1713</v>
      </c>
      <c r="L252" s="1239" t="s">
        <v>1694</v>
      </c>
      <c r="M252" s="1239"/>
      <c r="N252" s="1239"/>
      <c r="O252" s="1239" t="s">
        <v>1695</v>
      </c>
      <c r="P252" s="1239"/>
      <c r="Q252" s="1239" t="s">
        <v>1696</v>
      </c>
      <c r="R252" s="1239"/>
      <c r="S252" s="1239"/>
    </row>
    <row r="253" spans="1:19" ht="29.25">
      <c r="A253" s="1206" t="s">
        <v>1714</v>
      </c>
      <c r="B253" s="1241" t="s">
        <v>1697</v>
      </c>
      <c r="C253" s="1241" t="s">
        <v>1698</v>
      </c>
      <c r="D253" s="1241" t="s">
        <v>1699</v>
      </c>
      <c r="E253" s="1241" t="s">
        <v>1700</v>
      </c>
      <c r="F253" s="1241" t="s">
        <v>1701</v>
      </c>
      <c r="G253" s="1241" t="s">
        <v>1697</v>
      </c>
      <c r="H253" s="1241" t="s">
        <v>1698</v>
      </c>
      <c r="I253" s="1241" t="s">
        <v>1699</v>
      </c>
      <c r="J253" s="1249"/>
      <c r="K253" s="1206" t="s">
        <v>1714</v>
      </c>
      <c r="L253" s="1241" t="s">
        <v>1697</v>
      </c>
      <c r="M253" s="1241" t="s">
        <v>1698</v>
      </c>
      <c r="N253" s="1241" t="s">
        <v>1699</v>
      </c>
      <c r="O253" s="1241" t="s">
        <v>1700</v>
      </c>
      <c r="P253" s="1241" t="s">
        <v>1701</v>
      </c>
      <c r="Q253" s="1241" t="s">
        <v>1697</v>
      </c>
      <c r="R253" s="1241" t="s">
        <v>1698</v>
      </c>
      <c r="S253" s="1241" t="s">
        <v>1699</v>
      </c>
    </row>
    <row r="254" spans="1:19">
      <c r="A254" s="1245" t="s">
        <v>5073</v>
      </c>
      <c r="B254" s="1247"/>
      <c r="C254" s="1247"/>
      <c r="D254" s="1247">
        <v>0</v>
      </c>
      <c r="E254" s="1247">
        <v>533211.02</v>
      </c>
      <c r="F254" s="1247"/>
      <c r="G254" s="1247">
        <v>533211.02</v>
      </c>
      <c r="H254" s="1247"/>
      <c r="I254" s="1247">
        <v>533211.02</v>
      </c>
      <c r="J254" s="1487"/>
      <c r="K254" s="1245" t="s">
        <v>5074</v>
      </c>
      <c r="L254" s="1247">
        <v>16219.64</v>
      </c>
      <c r="M254" s="1247">
        <v>16219.64</v>
      </c>
      <c r="N254" s="1247">
        <v>0</v>
      </c>
      <c r="O254" s="1247">
        <v>-16219.64</v>
      </c>
      <c r="P254" s="1247">
        <v>-16219.64</v>
      </c>
      <c r="Q254" s="1247"/>
      <c r="R254" s="1247"/>
      <c r="S254" s="1247"/>
    </row>
    <row r="255" spans="1:19" ht="22.5">
      <c r="A255" s="1245" t="s">
        <v>5075</v>
      </c>
      <c r="B255" s="1247">
        <v>2074307</v>
      </c>
      <c r="C255" s="1247">
        <v>650462.25</v>
      </c>
      <c r="D255" s="1247">
        <v>1423844.75</v>
      </c>
      <c r="E255" s="1247">
        <v>173203.07</v>
      </c>
      <c r="F255" s="1247">
        <v>61461</v>
      </c>
      <c r="G255" s="1247">
        <v>2247510.0699999998</v>
      </c>
      <c r="H255" s="1247">
        <v>711923.25</v>
      </c>
      <c r="I255" s="1247">
        <v>1535586.8199999998</v>
      </c>
      <c r="J255" s="1487"/>
      <c r="K255" s="1245" t="s">
        <v>5076</v>
      </c>
      <c r="L255" s="1247">
        <v>1321778.6299999999</v>
      </c>
      <c r="M255" s="1247">
        <v>408720.56</v>
      </c>
      <c r="N255" s="1247">
        <v>913058.06999999983</v>
      </c>
      <c r="O255" s="1247">
        <v>-1321778.6299999999</v>
      </c>
      <c r="P255" s="1247">
        <v>-408720.56</v>
      </c>
      <c r="Q255" s="1247"/>
      <c r="R255" s="1247"/>
      <c r="S255" s="1247"/>
    </row>
    <row r="256" spans="1:19">
      <c r="A256" s="1245" t="s">
        <v>1975</v>
      </c>
      <c r="B256" s="1247">
        <v>1132349.69</v>
      </c>
      <c r="C256" s="1247">
        <v>194057.97</v>
      </c>
      <c r="D256" s="1247">
        <v>938291.72</v>
      </c>
      <c r="E256" s="1247">
        <v>359011.66</v>
      </c>
      <c r="F256" s="1247">
        <v>24185.84</v>
      </c>
      <c r="G256" s="1247">
        <v>1491361.3499999999</v>
      </c>
      <c r="H256" s="1247">
        <v>218243.81</v>
      </c>
      <c r="I256" s="1247">
        <v>1273117.5399999998</v>
      </c>
      <c r="J256" s="1487"/>
      <c r="K256" s="1245" t="s">
        <v>5077</v>
      </c>
      <c r="L256" s="1247">
        <v>14002.05</v>
      </c>
      <c r="M256" s="1247">
        <v>14002.05</v>
      </c>
      <c r="N256" s="1247"/>
      <c r="O256" s="1247">
        <v>-14002.05</v>
      </c>
      <c r="P256" s="1247">
        <v>-14002.05</v>
      </c>
      <c r="Q256" s="1247"/>
      <c r="R256" s="1247"/>
      <c r="S256" s="1247"/>
    </row>
    <row r="257" spans="1:19">
      <c r="A257" s="1245" t="s">
        <v>5078</v>
      </c>
      <c r="B257" s="1247"/>
      <c r="C257" s="1247"/>
      <c r="D257" s="1247"/>
      <c r="E257" s="1247">
        <v>75050</v>
      </c>
      <c r="F257" s="1247"/>
      <c r="G257" s="1247">
        <v>75050</v>
      </c>
      <c r="H257" s="1247"/>
      <c r="I257" s="1247">
        <v>75050</v>
      </c>
      <c r="J257" s="1487"/>
      <c r="K257" s="1245" t="s">
        <v>5079</v>
      </c>
      <c r="L257" s="1247">
        <v>11860.17</v>
      </c>
      <c r="M257" s="1247">
        <v>11860.17</v>
      </c>
      <c r="N257" s="1247"/>
      <c r="O257" s="1247">
        <v>-11860.17</v>
      </c>
      <c r="P257" s="1247">
        <v>-11860.17</v>
      </c>
      <c r="Q257" s="1247"/>
      <c r="R257" s="1247"/>
      <c r="S257" s="1247"/>
    </row>
    <row r="258" spans="1:19">
      <c r="A258" s="1245" t="s">
        <v>5080</v>
      </c>
      <c r="B258" s="1247"/>
      <c r="C258" s="1247"/>
      <c r="D258" s="1247"/>
      <c r="E258" s="1247">
        <v>258500</v>
      </c>
      <c r="F258" s="1247">
        <v>27696.42</v>
      </c>
      <c r="G258" s="1247">
        <v>258500</v>
      </c>
      <c r="H258" s="1247">
        <v>27696.42</v>
      </c>
      <c r="I258" s="1247">
        <v>230803.58000000002</v>
      </c>
      <c r="J258" s="1487"/>
      <c r="K258" s="1245" t="s">
        <v>5081</v>
      </c>
      <c r="L258" s="1247">
        <v>34854.07</v>
      </c>
      <c r="M258" s="1247">
        <v>34854.07</v>
      </c>
      <c r="N258" s="1247"/>
      <c r="O258" s="1247">
        <v>-34854.07</v>
      </c>
      <c r="P258" s="1247">
        <v>-34854.07</v>
      </c>
      <c r="Q258" s="1247"/>
      <c r="R258" s="1247"/>
      <c r="S258" s="1247"/>
    </row>
    <row r="259" spans="1:19">
      <c r="A259" s="1245" t="s">
        <v>5082</v>
      </c>
      <c r="B259" s="1247"/>
      <c r="C259" s="1247"/>
      <c r="D259" s="1247"/>
      <c r="E259" s="1247">
        <v>1388307.99</v>
      </c>
      <c r="F259" s="1247"/>
      <c r="G259" s="1247">
        <v>1388307.99</v>
      </c>
      <c r="H259" s="1247"/>
      <c r="I259" s="1247">
        <v>1388307.99</v>
      </c>
      <c r="J259" s="1487"/>
      <c r="K259" s="1245" t="s">
        <v>5083</v>
      </c>
      <c r="L259" s="1247">
        <v>48558.21</v>
      </c>
      <c r="M259" s="1247">
        <v>48558.21</v>
      </c>
      <c r="N259" s="1247"/>
      <c r="O259" s="1247">
        <v>-48558.21</v>
      </c>
      <c r="P259" s="1247">
        <v>-48558.21</v>
      </c>
      <c r="Q259" s="1247"/>
      <c r="R259" s="1247"/>
      <c r="S259" s="1247"/>
    </row>
    <row r="260" spans="1:19" ht="22.5">
      <c r="A260" s="1245" t="s">
        <v>5084</v>
      </c>
      <c r="B260" s="1247"/>
      <c r="C260" s="1247"/>
      <c r="D260" s="1247"/>
      <c r="E260" s="1247">
        <v>5401252.6399999997</v>
      </c>
      <c r="F260" s="1247"/>
      <c r="G260" s="1247">
        <v>5401252.6399999997</v>
      </c>
      <c r="H260" s="1247"/>
      <c r="I260" s="1247">
        <v>5401252.6399999997</v>
      </c>
      <c r="J260" s="1487"/>
      <c r="K260" s="1245" t="s">
        <v>5085</v>
      </c>
      <c r="L260" s="1247">
        <v>125006.36</v>
      </c>
      <c r="M260" s="1247">
        <v>125006.36</v>
      </c>
      <c r="N260" s="1247"/>
      <c r="O260" s="1247">
        <v>-125006.36</v>
      </c>
      <c r="P260" s="1247">
        <v>-125006.36</v>
      </c>
      <c r="Q260" s="1247"/>
      <c r="R260" s="1247"/>
      <c r="S260" s="1247"/>
    </row>
    <row r="261" spans="1:19">
      <c r="A261" s="1245" t="s">
        <v>5086</v>
      </c>
      <c r="B261" s="1247"/>
      <c r="C261" s="1247"/>
      <c r="D261" s="1247"/>
      <c r="E261" s="1247">
        <v>2048458.59</v>
      </c>
      <c r="F261" s="1247"/>
      <c r="G261" s="1247">
        <v>2048458.59</v>
      </c>
      <c r="H261" s="1247"/>
      <c r="I261" s="1247">
        <v>2048458.59</v>
      </c>
      <c r="J261" s="1487"/>
      <c r="K261" s="1245" t="s">
        <v>5087</v>
      </c>
      <c r="L261" s="1247">
        <v>515069.42</v>
      </c>
      <c r="M261" s="1247">
        <v>283288.5</v>
      </c>
      <c r="N261" s="1247">
        <v>231780.91999999998</v>
      </c>
      <c r="O261" s="1247">
        <v>-515069.42</v>
      </c>
      <c r="P261" s="1247">
        <v>-283288.5</v>
      </c>
      <c r="Q261" s="1247"/>
      <c r="R261" s="1247"/>
      <c r="S261" s="1247"/>
    </row>
    <row r="262" spans="1:19" ht="22.5">
      <c r="A262" s="1487"/>
      <c r="B262" s="1487"/>
      <c r="C262" s="1487"/>
      <c r="D262" s="1487"/>
      <c r="E262" s="1487"/>
      <c r="F262" s="1487"/>
      <c r="G262" s="1487"/>
      <c r="H262" s="1487"/>
      <c r="I262" s="1487"/>
      <c r="J262" s="1487"/>
      <c r="K262" s="1245" t="s">
        <v>5088</v>
      </c>
      <c r="L262" s="1247">
        <v>13175.67</v>
      </c>
      <c r="M262" s="1247">
        <v>13175.67</v>
      </c>
      <c r="N262" s="1247"/>
      <c r="O262" s="1247">
        <v>-13175.67</v>
      </c>
      <c r="P262" s="1247">
        <v>-13175.67</v>
      </c>
      <c r="Q262" s="1247"/>
      <c r="R262" s="1247"/>
      <c r="S262" s="1247"/>
    </row>
    <row r="263" spans="1:19" ht="22.5">
      <c r="A263" s="1487"/>
      <c r="B263" s="1487"/>
      <c r="C263" s="1487"/>
      <c r="D263" s="1487"/>
      <c r="E263" s="1248"/>
      <c r="F263" s="1487"/>
      <c r="G263" s="1487"/>
      <c r="H263" s="1487"/>
      <c r="I263" s="1487"/>
      <c r="J263" s="1487"/>
      <c r="K263" s="1245" t="s">
        <v>5089</v>
      </c>
      <c r="L263" s="1247">
        <v>540278.62</v>
      </c>
      <c r="M263" s="1247">
        <v>165622.5</v>
      </c>
      <c r="N263" s="1247">
        <v>374656.12</v>
      </c>
      <c r="O263" s="1247">
        <v>-540278.62</v>
      </c>
      <c r="P263" s="1247">
        <v>-165622.5</v>
      </c>
      <c r="Q263" s="1247"/>
      <c r="R263" s="1247"/>
      <c r="S263" s="1247"/>
    </row>
    <row r="264" spans="1:19" ht="22.5">
      <c r="A264" s="1487"/>
      <c r="B264" s="1487"/>
      <c r="C264" s="1487"/>
      <c r="D264" s="1487"/>
      <c r="E264" s="1487"/>
      <c r="F264" s="1487"/>
      <c r="G264" s="1487"/>
      <c r="H264" s="1487"/>
      <c r="I264" s="1487"/>
      <c r="J264" s="1487"/>
      <c r="K264" s="1245" t="s">
        <v>5090</v>
      </c>
      <c r="L264" s="1247">
        <v>540278.62</v>
      </c>
      <c r="M264" s="1247">
        <v>165622.5</v>
      </c>
      <c r="N264" s="1247">
        <v>374656.12</v>
      </c>
      <c r="O264" s="1247">
        <v>-540278.62</v>
      </c>
      <c r="P264" s="1247">
        <v>-165622.5</v>
      </c>
      <c r="Q264" s="1247"/>
      <c r="R264" s="1247"/>
      <c r="S264" s="1247"/>
    </row>
    <row r="265" spans="1:19" ht="22.5">
      <c r="A265" s="1487"/>
      <c r="B265" s="1487"/>
      <c r="C265" s="1487"/>
      <c r="D265" s="1487"/>
      <c r="E265" s="1487"/>
      <c r="F265" s="1487"/>
      <c r="G265" s="1487"/>
      <c r="H265" s="1487"/>
      <c r="I265" s="1487"/>
      <c r="J265" s="1487"/>
      <c r="K265" s="1245" t="s">
        <v>5091</v>
      </c>
      <c r="L265" s="1247">
        <v>540278.62</v>
      </c>
      <c r="M265" s="1247">
        <v>165622.5</v>
      </c>
      <c r="N265" s="1247">
        <v>374656.12</v>
      </c>
      <c r="O265" s="1247">
        <v>-540278.62</v>
      </c>
      <c r="P265" s="1247">
        <v>-165622.5</v>
      </c>
      <c r="Q265" s="1247"/>
      <c r="R265" s="1247"/>
      <c r="S265" s="1247"/>
    </row>
    <row r="266" spans="1:19" ht="22.5">
      <c r="A266" s="1487"/>
      <c r="B266" s="1487"/>
      <c r="C266" s="1487"/>
      <c r="D266" s="1487"/>
      <c r="E266" s="1487"/>
      <c r="F266" s="1487"/>
      <c r="G266" s="1487"/>
      <c r="H266" s="1487"/>
      <c r="I266" s="1487"/>
      <c r="J266" s="1487"/>
      <c r="K266" s="1245" t="s">
        <v>5092</v>
      </c>
      <c r="L266" s="1247">
        <v>316492</v>
      </c>
      <c r="M266" s="1247">
        <v>316492</v>
      </c>
      <c r="N266" s="1247"/>
      <c r="O266" s="1247">
        <v>-316492</v>
      </c>
      <c r="P266" s="1247">
        <v>-316492</v>
      </c>
      <c r="Q266" s="1247"/>
      <c r="R266" s="1247"/>
      <c r="S266" s="1247"/>
    </row>
  </sheetData>
  <mergeCells count="14">
    <mergeCell ref="A249:I249"/>
    <mergeCell ref="A250:I250"/>
    <mergeCell ref="A81:I81"/>
    <mergeCell ref="K81:S81"/>
    <mergeCell ref="A7:I7"/>
    <mergeCell ref="K7:S7"/>
    <mergeCell ref="A42:I42"/>
    <mergeCell ref="K42:S42"/>
    <mergeCell ref="A165:I165"/>
    <mergeCell ref="A229:I229"/>
    <mergeCell ref="A166:I166"/>
    <mergeCell ref="A216:I216"/>
    <mergeCell ref="A217:I217"/>
    <mergeCell ref="A228:I228"/>
  </mergeCells>
  <phoneticPr fontId="0" type="noConversion"/>
  <hyperlinks>
    <hyperlink ref="A1" location="Главная!A1" display="Переход на главную страницу"/>
  </hyperlinks>
  <pageMargins left="0.7" right="0.7" top="0.75" bottom="0.75" header="0.3" footer="0.3"/>
  <pageSetup paperSize="9" scale="55" orientation="portrait" r:id="rId1"/>
  <rowBreaks count="6" manualBreakCount="6">
    <brk id="36" max="18" man="1"/>
    <brk id="77" max="18" man="1"/>
    <brk id="113" max="18" man="1"/>
    <brk id="139" max="18" man="1"/>
    <brk id="163" max="18" man="1"/>
    <brk id="226" max="18" man="1"/>
  </rowBreaks>
  <colBreaks count="2" manualBreakCount="2">
    <brk id="9" max="1048575" man="1"/>
    <brk id="19" max="1048575" man="1"/>
  </colBreaks>
</worksheet>
</file>

<file path=xl/worksheets/sheet37.xml><?xml version="1.0" encoding="utf-8"?>
<worksheet xmlns="http://schemas.openxmlformats.org/spreadsheetml/2006/main" xmlns:r="http://schemas.openxmlformats.org/officeDocument/2006/relationships">
  <sheetPr>
    <tabColor theme="0"/>
    <pageSetUpPr fitToPage="1"/>
  </sheetPr>
  <dimension ref="A1:J159"/>
  <sheetViews>
    <sheetView view="pageBreakPreview" topLeftCell="B1" zoomScale="85" zoomScaleNormal="85" workbookViewId="0">
      <selection activeCell="G7" sqref="F7:G17"/>
    </sheetView>
  </sheetViews>
  <sheetFormatPr defaultRowHeight="15"/>
  <cols>
    <col min="1" max="1" width="110" bestFit="1" customWidth="1"/>
    <col min="2" max="2" width="4.42578125" customWidth="1"/>
    <col min="4" max="4" width="45.5703125" customWidth="1"/>
    <col min="5" max="5" width="21.85546875" customWidth="1"/>
    <col min="6" max="6" width="27.5703125" customWidth="1"/>
    <col min="7" max="7" width="21.140625" customWidth="1"/>
    <col min="8" max="8" width="26.28515625" customWidth="1"/>
  </cols>
  <sheetData>
    <row r="1" spans="1:10" ht="16.5" thickBot="1">
      <c r="A1" s="79" t="s">
        <v>724</v>
      </c>
    </row>
    <row r="2" spans="1:10" ht="51.75">
      <c r="A2" s="1336" t="s">
        <v>1300</v>
      </c>
      <c r="C2" s="583"/>
      <c r="D2" s="583"/>
      <c r="E2" s="583"/>
      <c r="F2" s="583"/>
      <c r="G2" s="583"/>
      <c r="H2" s="1337" t="s">
        <v>1301</v>
      </c>
    </row>
    <row r="3" spans="1:10" ht="15" customHeight="1">
      <c r="A3" s="1338" t="s">
        <v>1302</v>
      </c>
      <c r="C3" s="583"/>
      <c r="D3" s="583"/>
      <c r="E3" s="583"/>
      <c r="F3" s="583"/>
      <c r="G3" s="583"/>
      <c r="H3" s="583"/>
    </row>
    <row r="4" spans="1:10" ht="15.75">
      <c r="A4" s="1339" t="s">
        <v>1303</v>
      </c>
      <c r="C4" s="583"/>
      <c r="D4" s="583"/>
      <c r="E4" s="583"/>
      <c r="F4" s="583"/>
      <c r="G4" s="583"/>
      <c r="H4" s="583"/>
    </row>
    <row r="5" spans="1:10" ht="16.5">
      <c r="A5" s="1339" t="s">
        <v>1304</v>
      </c>
      <c r="C5" s="1948" t="s">
        <v>1305</v>
      </c>
      <c r="D5" s="1949"/>
      <c r="E5" s="1949"/>
      <c r="F5" s="1949"/>
      <c r="G5" s="1949"/>
      <c r="H5" s="1949"/>
    </row>
    <row r="6" spans="1:10" ht="15.75">
      <c r="A6" s="1340" t="s">
        <v>1306</v>
      </c>
      <c r="C6" s="583"/>
      <c r="D6" s="583"/>
      <c r="E6" s="583"/>
      <c r="F6" s="583"/>
      <c r="G6" s="583"/>
      <c r="H6" s="583"/>
    </row>
    <row r="7" spans="1:10" ht="16.5">
      <c r="A7" s="1341" t="s">
        <v>1307</v>
      </c>
      <c r="C7" s="583"/>
      <c r="D7" s="583"/>
      <c r="E7" s="583"/>
      <c r="F7" s="583"/>
      <c r="G7" s="583"/>
      <c r="H7" s="583"/>
    </row>
    <row r="8" spans="1:10" ht="63">
      <c r="A8" s="1341" t="s">
        <v>1308</v>
      </c>
      <c r="C8" s="1342" t="s">
        <v>1309</v>
      </c>
      <c r="D8" s="1343" t="s">
        <v>1310</v>
      </c>
      <c r="E8" s="1343" t="s">
        <v>2191</v>
      </c>
      <c r="F8" s="1343" t="s">
        <v>1311</v>
      </c>
      <c r="G8" s="1343" t="s">
        <v>1312</v>
      </c>
      <c r="H8" s="1344" t="s">
        <v>1313</v>
      </c>
    </row>
    <row r="9" spans="1:10" ht="31.5">
      <c r="A9" s="1345" t="s">
        <v>1314</v>
      </c>
      <c r="B9" s="1346"/>
      <c r="C9" s="1347" t="s">
        <v>756</v>
      </c>
      <c r="D9" s="1348" t="s">
        <v>1315</v>
      </c>
      <c r="E9" s="1347"/>
      <c r="F9" s="1349"/>
      <c r="G9" s="1349"/>
      <c r="H9" s="1349"/>
    </row>
    <row r="10" spans="1:10" ht="15.75">
      <c r="A10" s="1350" t="s">
        <v>1316</v>
      </c>
      <c r="B10" s="1351"/>
      <c r="C10" s="1347" t="s">
        <v>4518</v>
      </c>
      <c r="D10" s="1348" t="s">
        <v>1317</v>
      </c>
      <c r="E10" s="1347" t="s">
        <v>1318</v>
      </c>
      <c r="F10" s="1352">
        <f>+'п.п. 9 Б-1'!G31</f>
        <v>57999.593234576336</v>
      </c>
      <c r="G10" s="1352">
        <f>+'п.п. 9 Б-1'!H31</f>
        <v>55492.79</v>
      </c>
      <c r="H10" s="1352">
        <v>58623.425501084072</v>
      </c>
    </row>
    <row r="11" spans="1:10" ht="15.75">
      <c r="A11" s="1353" t="s">
        <v>1319</v>
      </c>
      <c r="C11" s="1347" t="s">
        <v>1320</v>
      </c>
      <c r="D11" s="1348" t="s">
        <v>1321</v>
      </c>
      <c r="E11" s="1347" t="s">
        <v>1318</v>
      </c>
      <c r="F11" s="1352">
        <f>'п.п. 9 Б-1'!G21+F13</f>
        <v>7018.6302745763442</v>
      </c>
      <c r="G11" s="1352">
        <f>'п.п. 9 Б-1'!H21+G13</f>
        <v>6508.58</v>
      </c>
      <c r="H11" s="1352">
        <v>7226.8130830514492</v>
      </c>
      <c r="J11" s="242"/>
    </row>
    <row r="12" spans="1:10" ht="31.5">
      <c r="A12" s="1354" t="s">
        <v>1322</v>
      </c>
      <c r="C12" s="1347" t="s">
        <v>1366</v>
      </c>
      <c r="D12" s="1348" t="s">
        <v>1323</v>
      </c>
      <c r="E12" s="1347" t="s">
        <v>1318</v>
      </c>
      <c r="H12" s="1352"/>
    </row>
    <row r="13" spans="1:10" ht="15.75">
      <c r="A13" s="1355"/>
      <c r="C13" s="1347" t="s">
        <v>1324</v>
      </c>
      <c r="D13" s="1348" t="s">
        <v>1325</v>
      </c>
      <c r="E13" s="1347" t="s">
        <v>1318</v>
      </c>
      <c r="F13" s="1352">
        <f>+'п.п. 9 Б-1'!G11+'п.п. 9 Б-1'!G25</f>
        <v>5614.9042196610753</v>
      </c>
      <c r="G13" s="1352">
        <f>+'п.п. 9 Б-1'!H11+'п.п. 9 Б-1'!H25</f>
        <v>5332.6399999999994</v>
      </c>
      <c r="H13" s="1352">
        <v>5781.4504664411597</v>
      </c>
    </row>
    <row r="14" spans="1:10" ht="16.5" thickBot="1">
      <c r="A14" s="1356"/>
      <c r="C14" s="1347" t="s">
        <v>1272</v>
      </c>
      <c r="D14" s="1348" t="s">
        <v>1326</v>
      </c>
      <c r="E14" s="1347"/>
      <c r="F14" s="1349"/>
      <c r="G14" s="1349"/>
      <c r="H14" s="1349"/>
    </row>
    <row r="15" spans="1:10" ht="79.5" thickBot="1">
      <c r="A15" s="1043"/>
      <c r="C15" s="1347" t="s">
        <v>2372</v>
      </c>
      <c r="D15" s="1348" t="s">
        <v>1327</v>
      </c>
      <c r="E15" s="1347" t="s">
        <v>1328</v>
      </c>
      <c r="F15" s="1349"/>
      <c r="G15" s="1349"/>
      <c r="H15" s="1349"/>
    </row>
    <row r="16" spans="1:10" ht="31.5">
      <c r="A16" s="1336" t="s">
        <v>1300</v>
      </c>
      <c r="C16" s="1347" t="s">
        <v>3783</v>
      </c>
      <c r="D16" s="1348" t="s">
        <v>1329</v>
      </c>
      <c r="E16" s="1347"/>
      <c r="F16" s="1349"/>
      <c r="G16" s="1349"/>
      <c r="H16" s="1349"/>
    </row>
    <row r="17" spans="1:8" ht="34.5">
      <c r="A17" s="1338" t="s">
        <v>1330</v>
      </c>
      <c r="C17" s="1347" t="s">
        <v>3107</v>
      </c>
      <c r="D17" s="1348" t="s">
        <v>2198</v>
      </c>
      <c r="E17" s="1347" t="s">
        <v>4405</v>
      </c>
      <c r="F17" s="1349" t="s">
        <v>3568</v>
      </c>
      <c r="G17" s="1349" t="s">
        <v>3568</v>
      </c>
      <c r="H17" s="1349" t="s">
        <v>3568</v>
      </c>
    </row>
    <row r="18" spans="1:8" ht="34.5">
      <c r="A18" s="1357" t="s">
        <v>2199</v>
      </c>
      <c r="C18" s="1347" t="s">
        <v>3108</v>
      </c>
      <c r="D18" s="1348" t="s">
        <v>2200</v>
      </c>
      <c r="E18" s="1347" t="s">
        <v>2201</v>
      </c>
      <c r="F18" s="1349" t="s">
        <v>3568</v>
      </c>
      <c r="G18" s="1349" t="s">
        <v>3568</v>
      </c>
      <c r="H18" s="1349" t="s">
        <v>3568</v>
      </c>
    </row>
    <row r="19" spans="1:8" ht="18.75">
      <c r="A19" s="1355" t="s">
        <v>2202</v>
      </c>
      <c r="C19" s="1358" t="s">
        <v>3109</v>
      </c>
      <c r="D19" s="1359" t="s">
        <v>2203</v>
      </c>
      <c r="E19" s="1358" t="s">
        <v>4405</v>
      </c>
      <c r="F19" s="582">
        <v>71.355999999999995</v>
      </c>
      <c r="G19" s="1360">
        <f>'п.п. 11 Б-1'!Q330+'п.п. 11 Б-1'!Q361</f>
        <v>68.331045620519717</v>
      </c>
      <c r="H19" s="582">
        <f>+(68.716+6.411)</f>
        <v>75.126999999999995</v>
      </c>
    </row>
    <row r="20" spans="1:8" ht="50.25">
      <c r="A20" s="1355" t="s">
        <v>1459</v>
      </c>
      <c r="C20" s="1347" t="s">
        <v>2204</v>
      </c>
      <c r="D20" s="1348" t="s">
        <v>2205</v>
      </c>
      <c r="E20" s="1347" t="s">
        <v>2206</v>
      </c>
      <c r="F20" s="1361">
        <f>+'п.п. 11 Б-2'!B228/1000</f>
        <v>182323.84099999999</v>
      </c>
      <c r="G20" s="1361">
        <f>'п.п. 11 Б-2'!B243/1000</f>
        <v>171645.511</v>
      </c>
      <c r="H20" s="1361">
        <f>+(172.176654+12.562524)*1000</f>
        <v>184739.17800000001</v>
      </c>
    </row>
    <row r="21" spans="1:8" ht="50.25">
      <c r="A21" s="1355" t="s">
        <v>2207</v>
      </c>
      <c r="C21" s="1347" t="s">
        <v>2208</v>
      </c>
      <c r="D21" s="1348" t="s">
        <v>2209</v>
      </c>
      <c r="E21" s="1347" t="s">
        <v>2210</v>
      </c>
      <c r="F21" s="1349" t="s">
        <v>3568</v>
      </c>
      <c r="G21" s="1349" t="s">
        <v>3568</v>
      </c>
      <c r="H21" s="1349" t="s">
        <v>3568</v>
      </c>
    </row>
    <row r="22" spans="1:8" ht="50.25">
      <c r="A22" s="1355" t="s">
        <v>2211</v>
      </c>
      <c r="C22" s="1347" t="s">
        <v>2212</v>
      </c>
      <c r="D22" s="1348" t="s">
        <v>2213</v>
      </c>
      <c r="E22" s="1347" t="s">
        <v>1328</v>
      </c>
      <c r="F22" s="1349">
        <v>5.52</v>
      </c>
      <c r="G22" s="1349">
        <v>5.52</v>
      </c>
      <c r="H22" s="1349">
        <v>5.52</v>
      </c>
    </row>
    <row r="23" spans="1:8" ht="50.25">
      <c r="A23" s="1355" t="s">
        <v>2214</v>
      </c>
      <c r="C23" s="1347" t="s">
        <v>2215</v>
      </c>
      <c r="D23" s="1348" t="s">
        <v>2216</v>
      </c>
      <c r="E23" s="1347"/>
      <c r="F23" s="1950" t="s">
        <v>2217</v>
      </c>
      <c r="G23" s="1950"/>
      <c r="H23" s="1950"/>
    </row>
    <row r="24" spans="1:8" ht="66">
      <c r="A24" s="1355" t="s">
        <v>2218</v>
      </c>
      <c r="C24" s="1347" t="s">
        <v>2219</v>
      </c>
      <c r="D24" s="1348" t="s">
        <v>2220</v>
      </c>
      <c r="E24" s="1347" t="s">
        <v>2201</v>
      </c>
      <c r="F24" s="1349" t="s">
        <v>3568</v>
      </c>
      <c r="G24" s="1349" t="s">
        <v>3568</v>
      </c>
      <c r="H24" s="1349" t="s">
        <v>3568</v>
      </c>
    </row>
    <row r="25" spans="1:8" ht="47.25">
      <c r="A25" s="1355" t="s">
        <v>2221</v>
      </c>
      <c r="C25" s="1347" t="s">
        <v>3761</v>
      </c>
      <c r="D25" s="1348" t="s">
        <v>2222</v>
      </c>
      <c r="E25" s="1347"/>
      <c r="F25" s="1349"/>
      <c r="G25" s="1349"/>
      <c r="H25" s="1349"/>
    </row>
    <row r="26" spans="1:8" ht="69">
      <c r="A26" s="1355" t="s">
        <v>2218</v>
      </c>
      <c r="C26" s="1347" t="s">
        <v>1367</v>
      </c>
      <c r="D26" s="1348" t="s">
        <v>2223</v>
      </c>
      <c r="E26" s="1347" t="s">
        <v>1318</v>
      </c>
      <c r="F26" s="1352">
        <v>37952.374311409883</v>
      </c>
      <c r="G26" s="1352">
        <v>38245.56</v>
      </c>
      <c r="H26" s="1352">
        <v>39492.362157078591</v>
      </c>
    </row>
    <row r="27" spans="1:8" ht="15.75">
      <c r="A27" s="1355" t="s">
        <v>2224</v>
      </c>
      <c r="C27" s="1347"/>
      <c r="D27" s="1348" t="s">
        <v>4837</v>
      </c>
      <c r="E27" s="1347"/>
      <c r="F27" s="1349"/>
      <c r="G27" s="1349"/>
      <c r="H27" s="1349"/>
    </row>
    <row r="28" spans="1:8" ht="15.75">
      <c r="A28" s="1355"/>
      <c r="C28" s="1347"/>
      <c r="D28" s="1348" t="s">
        <v>2225</v>
      </c>
      <c r="E28" s="1347"/>
      <c r="F28" s="1349"/>
      <c r="G28" s="1349"/>
      <c r="H28" s="1349"/>
    </row>
    <row r="29" spans="1:8" ht="15.75">
      <c r="A29" s="1355" t="s">
        <v>2226</v>
      </c>
      <c r="C29" s="1347"/>
      <c r="D29" s="1348" t="s">
        <v>2227</v>
      </c>
      <c r="E29" s="1347"/>
      <c r="F29" s="1349"/>
      <c r="G29" s="1349"/>
      <c r="H29" s="1349"/>
    </row>
    <row r="30" spans="1:8" ht="15.75">
      <c r="A30" s="1355" t="s">
        <v>2228</v>
      </c>
      <c r="C30" s="1347"/>
      <c r="D30" s="1348" t="s">
        <v>2229</v>
      </c>
      <c r="E30" s="1347"/>
      <c r="F30" s="1349"/>
      <c r="G30" s="1349"/>
      <c r="H30" s="1349"/>
    </row>
    <row r="31" spans="1:8" ht="53.25">
      <c r="A31" s="1355" t="s">
        <v>2230</v>
      </c>
      <c r="C31" s="1347" t="s">
        <v>2231</v>
      </c>
      <c r="D31" s="1348" t="s">
        <v>2232</v>
      </c>
      <c r="E31" s="1347" t="s">
        <v>1318</v>
      </c>
      <c r="F31" s="1362">
        <v>17963.013923166502</v>
      </c>
      <c r="G31" s="1362">
        <v>16670.490000000002</v>
      </c>
      <c r="H31" s="1362">
        <v>16748.611367516773</v>
      </c>
    </row>
    <row r="32" spans="1:8" ht="31.5">
      <c r="A32" s="1355" t="s">
        <v>2233</v>
      </c>
      <c r="C32" s="1347" t="s">
        <v>2234</v>
      </c>
      <c r="D32" s="1348" t="s">
        <v>2235</v>
      </c>
      <c r="E32" s="1347" t="s">
        <v>1318</v>
      </c>
      <c r="F32" s="1362">
        <v>2815.8190000000004</v>
      </c>
      <c r="G32" s="1362">
        <v>109.36399999999998</v>
      </c>
      <c r="H32" s="1362">
        <v>978.48011999999994</v>
      </c>
    </row>
    <row r="33" spans="1:8" ht="31.5">
      <c r="A33" s="1355" t="s">
        <v>2236</v>
      </c>
      <c r="C33" s="1347" t="s">
        <v>2237</v>
      </c>
      <c r="D33" s="1348" t="s">
        <v>2238</v>
      </c>
      <c r="E33" s="1347" t="s">
        <v>1318</v>
      </c>
      <c r="F33" s="1362">
        <v>5355.2982457627122</v>
      </c>
      <c r="G33" s="1362">
        <v>5075.57</v>
      </c>
      <c r="H33" s="1362">
        <v>5516</v>
      </c>
    </row>
    <row r="34" spans="1:8" ht="47.25">
      <c r="A34" s="1355" t="s">
        <v>2239</v>
      </c>
      <c r="C34" s="1347" t="s">
        <v>1299</v>
      </c>
      <c r="D34" s="1348" t="s">
        <v>2240</v>
      </c>
      <c r="E34" s="1347"/>
      <c r="F34" s="1363"/>
      <c r="G34" s="1363"/>
      <c r="H34" s="1363"/>
    </row>
    <row r="35" spans="1:8" ht="15.75">
      <c r="A35" s="1364" t="s">
        <v>2241</v>
      </c>
      <c r="C35" s="1347"/>
      <c r="D35" s="1365" t="s">
        <v>4845</v>
      </c>
      <c r="E35" s="1347"/>
      <c r="F35" s="1349"/>
      <c r="G35" s="1349"/>
      <c r="H35" s="1349"/>
    </row>
    <row r="36" spans="1:8" ht="18.75">
      <c r="A36" s="1355" t="s">
        <v>2242</v>
      </c>
      <c r="C36" s="1347"/>
      <c r="D36" s="1348" t="s">
        <v>2243</v>
      </c>
      <c r="E36" s="1347" t="s">
        <v>2244</v>
      </c>
      <c r="F36" s="1349">
        <v>2972.42</v>
      </c>
      <c r="G36" s="1349">
        <f>+F36</f>
        <v>2972.42</v>
      </c>
      <c r="H36" s="1349">
        <f>+G36</f>
        <v>2972.42</v>
      </c>
    </row>
    <row r="37" spans="1:8" ht="35.25" thickBot="1">
      <c r="A37" s="1366" t="s">
        <v>2241</v>
      </c>
      <c r="C37" s="1347"/>
      <c r="D37" s="1348" t="s">
        <v>2245</v>
      </c>
      <c r="E37" s="1347" t="s">
        <v>2246</v>
      </c>
      <c r="F37" s="1349"/>
      <c r="G37" s="1349"/>
      <c r="H37" s="1349"/>
    </row>
    <row r="38" spans="1:8" ht="47.25">
      <c r="C38" s="1347" t="s">
        <v>3786</v>
      </c>
      <c r="D38" s="1348" t="s">
        <v>2247</v>
      </c>
      <c r="E38" s="1347"/>
      <c r="F38" s="1349"/>
      <c r="G38" s="1349"/>
      <c r="H38" s="1349"/>
    </row>
    <row r="39" spans="1:8" ht="15.75">
      <c r="C39" s="1347" t="s">
        <v>3788</v>
      </c>
      <c r="D39" s="1348" t="s">
        <v>265</v>
      </c>
      <c r="E39" s="1347" t="s">
        <v>266</v>
      </c>
      <c r="F39" s="1349"/>
      <c r="G39" s="1349"/>
      <c r="H39" s="1349"/>
    </row>
    <row r="40" spans="1:8" ht="31.5">
      <c r="C40" s="1347" t="s">
        <v>3790</v>
      </c>
      <c r="D40" s="1348" t="s">
        <v>267</v>
      </c>
      <c r="E40" s="1347" t="s">
        <v>1273</v>
      </c>
      <c r="F40" s="1349"/>
      <c r="G40" s="1349"/>
      <c r="H40" s="1349"/>
    </row>
    <row r="41" spans="1:8" ht="47.25">
      <c r="C41" s="1367" t="s">
        <v>1274</v>
      </c>
      <c r="D41" s="1368" t="s">
        <v>2373</v>
      </c>
      <c r="E41" s="1367"/>
      <c r="F41" s="1369"/>
      <c r="G41" s="1369"/>
      <c r="H41" s="1369"/>
    </row>
    <row r="42" spans="1:8" ht="15.75">
      <c r="C42" s="1367"/>
      <c r="D42" s="1370" t="s">
        <v>4845</v>
      </c>
      <c r="E42" s="1367"/>
      <c r="F42" s="1369"/>
      <c r="G42" s="1369"/>
      <c r="H42" s="1369"/>
    </row>
    <row r="43" spans="1:8" ht="31.5">
      <c r="C43" s="1367"/>
      <c r="D43" s="1368" t="s">
        <v>2374</v>
      </c>
      <c r="E43" s="1367" t="s">
        <v>1318</v>
      </c>
      <c r="F43" s="1369"/>
      <c r="G43" s="1369"/>
      <c r="H43" s="1369"/>
    </row>
    <row r="44" spans="1:8" ht="47.25">
      <c r="C44" s="1371"/>
      <c r="D44" s="1372" t="s">
        <v>2375</v>
      </c>
      <c r="E44" s="1371" t="s">
        <v>1318</v>
      </c>
      <c r="F44" s="1373"/>
      <c r="G44" s="1373"/>
      <c r="H44" s="1373"/>
    </row>
    <row r="45" spans="1:8" ht="16.5">
      <c r="C45" s="1374" t="s">
        <v>2376</v>
      </c>
      <c r="D45" s="1375"/>
      <c r="E45" s="1375"/>
      <c r="F45" s="1375"/>
      <c r="G45" s="1375"/>
      <c r="H45" s="1375"/>
    </row>
    <row r="46" spans="1:8" ht="16.5">
      <c r="C46" s="1374" t="s">
        <v>2377</v>
      </c>
      <c r="D46" s="1375"/>
      <c r="E46" s="1375"/>
      <c r="F46" s="1375"/>
      <c r="G46" s="1375"/>
      <c r="H46" s="1375"/>
    </row>
    <row r="47" spans="1:8" ht="16.5">
      <c r="C47" s="1374" t="s">
        <v>2378</v>
      </c>
      <c r="D47" s="1375"/>
      <c r="E47" s="1375"/>
      <c r="F47" s="1375"/>
      <c r="G47" s="1375"/>
      <c r="H47" s="1375"/>
    </row>
    <row r="48" spans="1:8" ht="16.5">
      <c r="C48" s="1374" t="s">
        <v>2379</v>
      </c>
      <c r="D48" s="1375"/>
      <c r="E48" s="1375"/>
      <c r="F48" s="1375"/>
      <c r="G48" s="1375"/>
      <c r="H48" s="1375"/>
    </row>
    <row r="49" spans="1:8" ht="15.75" thickBot="1">
      <c r="A49" s="1376"/>
      <c r="B49" s="1376"/>
      <c r="C49" s="1377"/>
      <c r="D49" s="1378"/>
      <c r="E49" s="1378"/>
      <c r="F49" s="1378"/>
      <c r="G49" s="1378"/>
      <c r="H49" s="1378"/>
    </row>
    <row r="50" spans="1:8" ht="84.75" customHeight="1">
      <c r="A50" s="1336" t="s">
        <v>1300</v>
      </c>
      <c r="C50" s="583"/>
      <c r="D50" s="583"/>
      <c r="E50" s="583"/>
      <c r="F50" s="583"/>
      <c r="G50" s="583"/>
      <c r="H50" s="1337" t="s">
        <v>1301</v>
      </c>
    </row>
    <row r="51" spans="1:8" ht="15.75">
      <c r="A51" s="1338" t="s">
        <v>1302</v>
      </c>
      <c r="C51" s="583"/>
      <c r="D51" s="583"/>
      <c r="E51" s="583"/>
      <c r="F51" s="583"/>
      <c r="G51" s="583"/>
      <c r="H51" s="583"/>
    </row>
    <row r="52" spans="1:8" ht="15.75">
      <c r="A52" s="1339" t="s">
        <v>1303</v>
      </c>
      <c r="C52" s="583"/>
      <c r="D52" s="583"/>
      <c r="E52" s="583"/>
      <c r="F52" s="583"/>
      <c r="G52" s="583"/>
      <c r="H52" s="583"/>
    </row>
    <row r="53" spans="1:8" ht="16.5" customHeight="1">
      <c r="A53" s="1339" t="s">
        <v>1304</v>
      </c>
      <c r="C53" s="1948" t="s">
        <v>1305</v>
      </c>
      <c r="D53" s="1949"/>
      <c r="E53" s="1949"/>
      <c r="F53" s="1949"/>
      <c r="G53" s="1949"/>
      <c r="H53" s="1949"/>
    </row>
    <row r="54" spans="1:8" ht="16.5" customHeight="1">
      <c r="A54" s="1340" t="s">
        <v>1306</v>
      </c>
      <c r="C54" s="583"/>
      <c r="D54" s="583"/>
      <c r="E54" s="583"/>
      <c r="F54" s="583"/>
      <c r="G54" s="583"/>
      <c r="H54" s="583"/>
    </row>
    <row r="55" spans="1:8" ht="16.5">
      <c r="A55" s="1341" t="s">
        <v>1307</v>
      </c>
      <c r="C55" s="583"/>
      <c r="D55" s="583"/>
      <c r="E55" s="583"/>
      <c r="F55" s="583"/>
      <c r="G55" s="583"/>
      <c r="H55" s="583"/>
    </row>
    <row r="56" spans="1:8" ht="66">
      <c r="A56" s="1341" t="s">
        <v>1308</v>
      </c>
      <c r="C56" s="1342" t="s">
        <v>1309</v>
      </c>
      <c r="D56" s="1343" t="s">
        <v>1310</v>
      </c>
      <c r="E56" s="1343" t="s">
        <v>2191</v>
      </c>
      <c r="F56" s="1343" t="s">
        <v>2380</v>
      </c>
      <c r="G56" s="1343" t="s">
        <v>2381</v>
      </c>
      <c r="H56" s="1344" t="s">
        <v>2382</v>
      </c>
    </row>
    <row r="57" spans="1:8" ht="31.5">
      <c r="A57" s="1345" t="s">
        <v>2383</v>
      </c>
      <c r="B57" s="1346"/>
      <c r="C57" s="1347" t="s">
        <v>756</v>
      </c>
      <c r="D57" s="1348" t="s">
        <v>1315</v>
      </c>
      <c r="E57" s="1347"/>
      <c r="F57" s="1349"/>
      <c r="G57" s="1349"/>
      <c r="H57" s="1349"/>
    </row>
    <row r="58" spans="1:8" ht="15.75">
      <c r="A58" s="1350" t="s">
        <v>1316</v>
      </c>
      <c r="B58" s="1351"/>
      <c r="C58" s="1347" t="s">
        <v>4518</v>
      </c>
      <c r="D58" s="1348" t="s">
        <v>1317</v>
      </c>
      <c r="E58" s="1347" t="s">
        <v>1318</v>
      </c>
      <c r="F58" s="1352">
        <f>+'п.п. 9 Б-1'!E31</f>
        <v>59831.26158883395</v>
      </c>
      <c r="G58" s="1352">
        <f>+'п.п. 9 Б-1'!F31</f>
        <v>55546.457999999999</v>
      </c>
      <c r="H58" s="1352">
        <f>58467.1409619072</f>
        <v>58467.1409619072</v>
      </c>
    </row>
    <row r="59" spans="1:8" ht="15.75">
      <c r="A59" s="1353" t="s">
        <v>1319</v>
      </c>
      <c r="C59" s="1347" t="s">
        <v>1320</v>
      </c>
      <c r="D59" s="1348" t="s">
        <v>1321</v>
      </c>
      <c r="E59" s="1347" t="s">
        <v>1318</v>
      </c>
      <c r="F59" s="1352">
        <f>'п.п. 9 Б-1'!E21+F61</f>
        <v>6453.7318624602576</v>
      </c>
      <c r="G59" s="1352">
        <f>'п.п. 9 Б-1'!F21+G61</f>
        <v>6331.1439999999993</v>
      </c>
      <c r="H59" s="1352">
        <v>7001.1732986880179</v>
      </c>
    </row>
    <row r="60" spans="1:8" ht="31.5">
      <c r="A60" s="1354" t="s">
        <v>1322</v>
      </c>
      <c r="C60" s="1347" t="s">
        <v>1366</v>
      </c>
      <c r="D60" s="1348" t="s">
        <v>1323</v>
      </c>
      <c r="E60" s="1347" t="s">
        <v>1318</v>
      </c>
    </row>
    <row r="61" spans="1:8" ht="15.75">
      <c r="A61" s="1355"/>
      <c r="C61" s="1347" t="s">
        <v>1324</v>
      </c>
      <c r="D61" s="1348" t="s">
        <v>1325</v>
      </c>
      <c r="E61" s="1347" t="s">
        <v>1318</v>
      </c>
      <c r="F61" s="1352">
        <f>+'п.п. 9 Б-1'!D25+'п.п. 9 Б-1'!D11</f>
        <v>5150.7999999999993</v>
      </c>
      <c r="G61" s="1352">
        <f>+'п.п. 9 Б-1'!F25+'п.п. 9 Б-1'!F11</f>
        <v>5388.98</v>
      </c>
      <c r="H61" s="1352">
        <v>5600.9386389504143</v>
      </c>
    </row>
    <row r="62" spans="1:8" ht="16.5" thickBot="1">
      <c r="A62" s="1356"/>
      <c r="C62" s="1347" t="s">
        <v>1272</v>
      </c>
      <c r="D62" s="1348" t="s">
        <v>1326</v>
      </c>
      <c r="E62" s="1347"/>
      <c r="F62" s="1349"/>
      <c r="G62" s="1349"/>
      <c r="H62" s="1349"/>
    </row>
    <row r="63" spans="1:8" ht="79.5" thickBot="1">
      <c r="A63" s="1043"/>
      <c r="C63" s="1347" t="s">
        <v>2372</v>
      </c>
      <c r="D63" s="1348" t="s">
        <v>1327</v>
      </c>
      <c r="E63" s="1347" t="s">
        <v>1328</v>
      </c>
      <c r="F63" s="1349"/>
      <c r="G63" s="1349"/>
      <c r="H63" s="1349"/>
    </row>
    <row r="64" spans="1:8" ht="31.5">
      <c r="A64" s="1336" t="s">
        <v>1300</v>
      </c>
      <c r="C64" s="1347" t="s">
        <v>3783</v>
      </c>
      <c r="D64" s="1348" t="s">
        <v>1329</v>
      </c>
      <c r="E64" s="1347"/>
      <c r="F64" s="1349"/>
      <c r="G64" s="1349"/>
      <c r="H64" s="1349"/>
    </row>
    <row r="65" spans="1:8" ht="34.5">
      <c r="A65" s="1338" t="s">
        <v>1330</v>
      </c>
      <c r="C65" s="1347" t="s">
        <v>3107</v>
      </c>
      <c r="D65" s="1348" t="s">
        <v>2198</v>
      </c>
      <c r="E65" s="1347" t="s">
        <v>4405</v>
      </c>
      <c r="F65" s="1349" t="s">
        <v>3568</v>
      </c>
      <c r="G65" s="1349" t="s">
        <v>3568</v>
      </c>
      <c r="H65" s="1349" t="s">
        <v>3568</v>
      </c>
    </row>
    <row r="66" spans="1:8" ht="34.5">
      <c r="A66" s="1357" t="s">
        <v>2199</v>
      </c>
      <c r="C66" s="1347" t="s">
        <v>3108</v>
      </c>
      <c r="D66" s="1348" t="s">
        <v>2200</v>
      </c>
      <c r="E66" s="1347" t="s">
        <v>2201</v>
      </c>
      <c r="F66" s="1349" t="s">
        <v>3568</v>
      </c>
      <c r="G66" s="1349" t="s">
        <v>3568</v>
      </c>
      <c r="H66" s="1349" t="s">
        <v>3568</v>
      </c>
    </row>
    <row r="67" spans="1:8" ht="18.75">
      <c r="A67" s="1355" t="s">
        <v>2202</v>
      </c>
      <c r="C67" s="1358" t="s">
        <v>3109</v>
      </c>
      <c r="D67" s="1359" t="s">
        <v>2203</v>
      </c>
      <c r="E67" s="1358" t="s">
        <v>4405</v>
      </c>
      <c r="F67" s="582">
        <v>69.055000000000007</v>
      </c>
      <c r="G67" s="1379">
        <f>'п.п. 11 Б-1'!Q267+'п.п. 11 Б-1'!Q296</f>
        <v>71.356250000000003</v>
      </c>
      <c r="H67" s="582">
        <v>63.835000000000001</v>
      </c>
    </row>
    <row r="68" spans="1:8" ht="50.25">
      <c r="A68" s="1355" t="s">
        <v>1459</v>
      </c>
      <c r="C68" s="1347" t="s">
        <v>2204</v>
      </c>
      <c r="D68" s="1348" t="s">
        <v>2205</v>
      </c>
      <c r="E68" s="1347" t="s">
        <v>2206</v>
      </c>
      <c r="F68" s="1361">
        <f>+'п.п. 11 Б-2'!B196/1000</f>
        <v>148978.17000000001</v>
      </c>
      <c r="G68" s="1361">
        <f>'п.п. 11 Б-2'!B212/1000</f>
        <v>151179.88</v>
      </c>
      <c r="H68" s="1361">
        <v>150086.63699999999</v>
      </c>
    </row>
    <row r="69" spans="1:8" ht="50.25">
      <c r="A69" s="1355" t="s">
        <v>2207</v>
      </c>
      <c r="C69" s="1347" t="s">
        <v>2208</v>
      </c>
      <c r="D69" s="1348" t="s">
        <v>2209</v>
      </c>
      <c r="E69" s="1347" t="s">
        <v>2210</v>
      </c>
      <c r="F69" s="1349" t="s">
        <v>3568</v>
      </c>
      <c r="G69" s="1349" t="s">
        <v>3568</v>
      </c>
      <c r="H69" s="1349" t="s">
        <v>3568</v>
      </c>
    </row>
    <row r="70" spans="1:8" ht="50.25">
      <c r="A70" s="1355" t="s">
        <v>2211</v>
      </c>
      <c r="C70" s="1347" t="s">
        <v>2212</v>
      </c>
      <c r="D70" s="1348" t="s">
        <v>2213</v>
      </c>
      <c r="E70" s="1347" t="s">
        <v>1328</v>
      </c>
      <c r="F70" s="1349">
        <v>5.52</v>
      </c>
      <c r="G70" s="1349">
        <v>5.52</v>
      </c>
      <c r="H70" s="1349">
        <v>5.52</v>
      </c>
    </row>
    <row r="71" spans="1:8" ht="50.25">
      <c r="A71" s="1355" t="s">
        <v>2214</v>
      </c>
      <c r="C71" s="1347" t="s">
        <v>2215</v>
      </c>
      <c r="D71" s="1348" t="s">
        <v>2216</v>
      </c>
      <c r="E71" s="1347"/>
      <c r="F71" s="1950" t="s">
        <v>2217</v>
      </c>
      <c r="G71" s="1950"/>
      <c r="H71" s="1950"/>
    </row>
    <row r="72" spans="1:8" ht="66">
      <c r="A72" s="1355" t="s">
        <v>2218</v>
      </c>
      <c r="C72" s="1347" t="s">
        <v>2219</v>
      </c>
      <c r="D72" s="1348" t="s">
        <v>2220</v>
      </c>
      <c r="E72" s="1347" t="s">
        <v>2201</v>
      </c>
      <c r="F72" s="1349" t="s">
        <v>3568</v>
      </c>
      <c r="G72" s="1349" t="s">
        <v>3568</v>
      </c>
      <c r="H72" s="1349" t="s">
        <v>3568</v>
      </c>
    </row>
    <row r="73" spans="1:8" ht="47.25">
      <c r="A73" s="1355" t="s">
        <v>2221</v>
      </c>
      <c r="C73" s="1347" t="s">
        <v>3761</v>
      </c>
      <c r="D73" s="1348" t="s">
        <v>2222</v>
      </c>
      <c r="E73" s="1347"/>
      <c r="F73" s="1349"/>
      <c r="G73" s="1349"/>
      <c r="H73" s="1349"/>
    </row>
    <row r="74" spans="1:8" ht="69">
      <c r="A74" s="1355" t="s">
        <v>2218</v>
      </c>
      <c r="C74" s="1347" t="s">
        <v>1367</v>
      </c>
      <c r="D74" s="1348" t="s">
        <v>2223</v>
      </c>
      <c r="E74" s="1347" t="s">
        <v>1318</v>
      </c>
      <c r="F74" s="1352">
        <v>36993.130952850937</v>
      </c>
      <c r="G74" s="1352">
        <v>38205.352053845236</v>
      </c>
      <c r="H74" s="1352">
        <v>40017.049848238581</v>
      </c>
    </row>
    <row r="75" spans="1:8" ht="15.75">
      <c r="A75" s="1355" t="s">
        <v>2224</v>
      </c>
      <c r="C75" s="1347"/>
      <c r="D75" s="1348" t="s">
        <v>4837</v>
      </c>
      <c r="E75" s="1347"/>
      <c r="F75" s="1349"/>
      <c r="G75" s="1349"/>
      <c r="H75" s="1349"/>
    </row>
    <row r="76" spans="1:8" ht="15.75">
      <c r="A76" s="1355"/>
      <c r="C76" s="1347"/>
      <c r="D76" s="1348" t="s">
        <v>2225</v>
      </c>
      <c r="E76" s="1347"/>
      <c r="F76" s="1349"/>
      <c r="G76" s="1349"/>
      <c r="H76" s="1349"/>
    </row>
    <row r="77" spans="1:8" ht="15.75">
      <c r="A77" s="1355" t="s">
        <v>2226</v>
      </c>
      <c r="C77" s="1347"/>
      <c r="D77" s="1348" t="s">
        <v>2227</v>
      </c>
      <c r="E77" s="1347"/>
      <c r="F77" s="1349"/>
      <c r="G77" s="1349"/>
      <c r="H77" s="1349"/>
    </row>
    <row r="78" spans="1:8" ht="15.75">
      <c r="A78" s="1355" t="s">
        <v>2228</v>
      </c>
      <c r="C78" s="1347"/>
      <c r="D78" s="1348" t="s">
        <v>2229</v>
      </c>
      <c r="E78" s="1347"/>
      <c r="F78" s="1349"/>
      <c r="G78" s="1349"/>
      <c r="H78" s="1349"/>
    </row>
    <row r="79" spans="1:8" ht="53.25">
      <c r="A79" s="1355" t="s">
        <v>2230</v>
      </c>
      <c r="C79" s="1347" t="s">
        <v>2231</v>
      </c>
      <c r="D79" s="1348" t="s">
        <v>2232</v>
      </c>
      <c r="E79" s="1347" t="s">
        <v>1318</v>
      </c>
      <c r="F79" s="1352">
        <v>15770.987785370155</v>
      </c>
      <c r="G79" s="1352">
        <v>15215.493803987432</v>
      </c>
      <c r="H79" s="1352">
        <v>16748.611367516773</v>
      </c>
    </row>
    <row r="80" spans="1:8" ht="31.5">
      <c r="A80" s="1355" t="s">
        <v>2233</v>
      </c>
      <c r="C80" s="1347" t="s">
        <v>2234</v>
      </c>
      <c r="D80" s="1348" t="s">
        <v>2235</v>
      </c>
      <c r="E80" s="1347" t="s">
        <v>1318</v>
      </c>
      <c r="F80" s="1352">
        <v>7067.1440000000002</v>
      </c>
      <c r="G80" s="1352">
        <v>2447.6299999999997</v>
      </c>
      <c r="H80" s="1352">
        <v>978.48011999999994</v>
      </c>
    </row>
    <row r="81" spans="1:8" ht="31.5">
      <c r="A81" s="1355" t="s">
        <v>2236</v>
      </c>
      <c r="C81" s="1347" t="s">
        <v>2237</v>
      </c>
      <c r="D81" s="1348" t="s">
        <v>2238</v>
      </c>
      <c r="E81" s="1347" t="s">
        <v>1318</v>
      </c>
      <c r="F81" s="1352">
        <v>4885.0768474576271</v>
      </c>
      <c r="G81" s="1352">
        <v>5139</v>
      </c>
      <c r="H81" s="1352">
        <v>5324</v>
      </c>
    </row>
    <row r="82" spans="1:8" ht="47.25">
      <c r="A82" s="1355" t="s">
        <v>2239</v>
      </c>
      <c r="C82" s="1347" t="s">
        <v>1299</v>
      </c>
      <c r="D82" s="1348" t="s">
        <v>2240</v>
      </c>
      <c r="E82" s="1347"/>
      <c r="F82" s="1349"/>
      <c r="G82" s="1349"/>
      <c r="H82" s="1349"/>
    </row>
    <row r="83" spans="1:8" ht="15.75">
      <c r="A83" s="1364" t="s">
        <v>2241</v>
      </c>
      <c r="C83" s="1347"/>
      <c r="D83" s="1365" t="s">
        <v>4845</v>
      </c>
      <c r="E83" s="1347"/>
      <c r="F83" s="1349"/>
      <c r="G83" s="1349"/>
      <c r="H83" s="1349"/>
    </row>
    <row r="84" spans="1:8" ht="18.75">
      <c r="A84" s="1355" t="s">
        <v>2242</v>
      </c>
      <c r="C84" s="1347"/>
      <c r="D84" s="1348" t="s">
        <v>2243</v>
      </c>
      <c r="E84" s="1347" t="s">
        <v>2244</v>
      </c>
      <c r="F84" s="1349">
        <v>2972.42</v>
      </c>
      <c r="G84" s="1349">
        <f>+F84</f>
        <v>2972.42</v>
      </c>
      <c r="H84" s="1349">
        <f>+G84</f>
        <v>2972.42</v>
      </c>
    </row>
    <row r="85" spans="1:8" ht="35.25" thickBot="1">
      <c r="A85" s="1366" t="s">
        <v>2241</v>
      </c>
      <c r="C85" s="1347"/>
      <c r="D85" s="1348" t="s">
        <v>2245</v>
      </c>
      <c r="E85" s="1347" t="s">
        <v>2246</v>
      </c>
      <c r="F85" s="1349"/>
      <c r="G85" s="1349"/>
      <c r="H85" s="1349"/>
    </row>
    <row r="86" spans="1:8" ht="47.25">
      <c r="C86" s="1347" t="s">
        <v>3786</v>
      </c>
      <c r="D86" s="1348" t="s">
        <v>2247</v>
      </c>
      <c r="E86" s="1347"/>
      <c r="F86" s="1349"/>
      <c r="G86" s="1349"/>
      <c r="H86" s="1349"/>
    </row>
    <row r="87" spans="1:8" ht="15.75">
      <c r="C87" s="1347" t="s">
        <v>3788</v>
      </c>
      <c r="D87" s="1348" t="s">
        <v>265</v>
      </c>
      <c r="E87" s="1347" t="s">
        <v>266</v>
      </c>
      <c r="F87" s="1349"/>
      <c r="G87" s="1349"/>
      <c r="H87" s="1349"/>
    </row>
    <row r="88" spans="1:8" ht="31.5">
      <c r="C88" s="1347" t="s">
        <v>3790</v>
      </c>
      <c r="D88" s="1348" t="s">
        <v>267</v>
      </c>
      <c r="E88" s="1347" t="s">
        <v>1273</v>
      </c>
      <c r="F88" s="1349"/>
      <c r="G88" s="1349"/>
      <c r="H88" s="1349"/>
    </row>
    <row r="89" spans="1:8" ht="47.25">
      <c r="C89" s="1367" t="s">
        <v>1274</v>
      </c>
      <c r="D89" s="1368" t="s">
        <v>2373</v>
      </c>
      <c r="E89" s="1367"/>
      <c r="F89" s="1369"/>
      <c r="G89" s="1369"/>
      <c r="H89" s="1369"/>
    </row>
    <row r="90" spans="1:8" ht="15.75">
      <c r="C90" s="1367"/>
      <c r="D90" s="1370" t="s">
        <v>4845</v>
      </c>
      <c r="E90" s="1367"/>
      <c r="F90" s="1369"/>
      <c r="G90" s="1369"/>
      <c r="H90" s="1369"/>
    </row>
    <row r="91" spans="1:8" ht="31.5">
      <c r="C91" s="1367"/>
      <c r="D91" s="1368" t="s">
        <v>2374</v>
      </c>
      <c r="E91" s="1367" t="s">
        <v>1318</v>
      </c>
      <c r="F91" s="1369"/>
      <c r="G91" s="1369"/>
      <c r="H91" s="1369"/>
    </row>
    <row r="92" spans="1:8" ht="47.25">
      <c r="C92" s="1371"/>
      <c r="D92" s="1372" t="s">
        <v>2375</v>
      </c>
      <c r="E92" s="1371" t="s">
        <v>1318</v>
      </c>
      <c r="F92" s="1373"/>
      <c r="G92" s="1373"/>
      <c r="H92" s="1373"/>
    </row>
    <row r="93" spans="1:8" ht="16.5">
      <c r="C93" s="1374" t="s">
        <v>2376</v>
      </c>
      <c r="D93" s="1375"/>
      <c r="E93" s="1375"/>
      <c r="F93" s="1375"/>
      <c r="G93" s="1375"/>
      <c r="H93" s="1375"/>
    </row>
    <row r="94" spans="1:8" ht="16.5">
      <c r="C94" s="1374" t="s">
        <v>2377</v>
      </c>
      <c r="D94" s="1375"/>
      <c r="E94" s="1375"/>
      <c r="F94" s="1375"/>
      <c r="G94" s="1375"/>
      <c r="H94" s="1375"/>
    </row>
    <row r="95" spans="1:8" ht="16.5">
      <c r="C95" s="1374" t="s">
        <v>2378</v>
      </c>
      <c r="D95" s="1375"/>
      <c r="E95" s="1375"/>
      <c r="F95" s="1375"/>
      <c r="G95" s="1375"/>
      <c r="H95" s="1375"/>
    </row>
    <row r="96" spans="1:8" ht="16.5">
      <c r="C96" s="1374" t="s">
        <v>2379</v>
      </c>
      <c r="D96" s="1375"/>
      <c r="E96" s="1375"/>
      <c r="F96" s="1375"/>
      <c r="G96" s="1375"/>
      <c r="H96" s="1375"/>
    </row>
    <row r="98" spans="4:4" ht="15.75" customHeight="1"/>
    <row r="102" spans="4:4">
      <c r="D102" s="1380"/>
    </row>
    <row r="103" spans="4:4">
      <c r="D103" s="1380"/>
    </row>
    <row r="104" spans="4:4" ht="16.5">
      <c r="D104" s="708"/>
    </row>
    <row r="105" spans="4:4" ht="15.75">
      <c r="D105" s="1043"/>
    </row>
    <row r="106" spans="4:4" ht="15.75">
      <c r="D106" s="1043"/>
    </row>
    <row r="107" spans="4:4" ht="15.75">
      <c r="D107" s="1043"/>
    </row>
    <row r="108" spans="4:4" ht="15" customHeight="1">
      <c r="D108" s="1043"/>
    </row>
    <row r="109" spans="4:4" ht="15" customHeight="1">
      <c r="D109" s="1043"/>
    </row>
    <row r="110" spans="4:4" ht="15.75">
      <c r="D110" s="1043"/>
    </row>
    <row r="111" spans="4:4" ht="15" customHeight="1">
      <c r="D111" s="1043"/>
    </row>
    <row r="112" spans="4:4" ht="15.75">
      <c r="D112" s="1043"/>
    </row>
    <row r="113" spans="4:4" ht="20.25" customHeight="1">
      <c r="D113" s="1043"/>
    </row>
    <row r="114" spans="4:4" ht="15.75">
      <c r="D114" s="1043"/>
    </row>
    <row r="115" spans="4:4" ht="15.75">
      <c r="D115" s="1043"/>
    </row>
    <row r="116" spans="4:4" ht="15.75">
      <c r="D116" s="1043"/>
    </row>
    <row r="117" spans="4:4" ht="15.75">
      <c r="D117" s="1043"/>
    </row>
    <row r="118" spans="4:4" ht="15.75">
      <c r="D118" s="1043"/>
    </row>
    <row r="119" spans="4:4" ht="29.25" customHeight="1">
      <c r="D119" s="1043"/>
    </row>
    <row r="120" spans="4:4" ht="15" customHeight="1">
      <c r="D120" s="1043"/>
    </row>
    <row r="121" spans="4:4" ht="15.75">
      <c r="D121" s="1043"/>
    </row>
    <row r="122" spans="4:4" ht="15.75">
      <c r="D122" s="1043"/>
    </row>
    <row r="134" spans="4:4" ht="15.75">
      <c r="D134" s="1043"/>
    </row>
    <row r="141" spans="4:4" ht="15.75" customHeight="1"/>
    <row r="143" spans="4:4" ht="22.5" customHeight="1"/>
    <row r="145" ht="25.5" customHeight="1"/>
    <row r="146" ht="15" hidden="1" customHeight="1"/>
    <row r="147" ht="15" hidden="1" customHeight="1"/>
    <row r="148" ht="15" hidden="1" customHeight="1"/>
    <row r="152" ht="34.5" customHeight="1"/>
    <row r="153" ht="29.25" customHeight="1"/>
    <row r="159" hidden="1"/>
  </sheetData>
  <mergeCells count="4">
    <mergeCell ref="C5:H5"/>
    <mergeCell ref="F23:H23"/>
    <mergeCell ref="C53:H53"/>
    <mergeCell ref="F71:H71"/>
  </mergeCells>
  <phoneticPr fontId="0" type="noConversion"/>
  <hyperlinks>
    <hyperlink ref="A1" location="Главная!A1" display="Переход на главную страницу"/>
  </hyperlinks>
  <pageMargins left="0.70866141732283472" right="0.70866141732283472" top="0.74803149606299213" bottom="0.74803149606299213" header="0.31496062992125984" footer="0.31496062992125984"/>
  <pageSetup paperSize="9" scale="18" orientation="portrait" cellComments="asDisplayed" r:id="rId1"/>
  <headerFooter alignWithMargins="0"/>
  <legacyDrawing r:id="rId2"/>
</worksheet>
</file>

<file path=xl/worksheets/sheet38.xml><?xml version="1.0" encoding="utf-8"?>
<worksheet xmlns="http://schemas.openxmlformats.org/spreadsheetml/2006/main" xmlns:r="http://schemas.openxmlformats.org/officeDocument/2006/relationships">
  <sheetPr>
    <tabColor theme="0"/>
    <pageSetUpPr fitToPage="1"/>
  </sheetPr>
  <dimension ref="A1:I93"/>
  <sheetViews>
    <sheetView view="pageBreakPreview" zoomScale="85" zoomScaleNormal="85" workbookViewId="0">
      <selection activeCell="G7" sqref="F7:G17"/>
    </sheetView>
  </sheetViews>
  <sheetFormatPr defaultRowHeight="15"/>
  <cols>
    <col min="1" max="1" width="4.42578125" customWidth="1"/>
    <col min="2" max="2" width="30.85546875" customWidth="1"/>
    <col min="3" max="3" width="17.7109375" customWidth="1"/>
    <col min="4" max="4" width="14.140625" customWidth="1"/>
    <col min="5" max="5" width="13.42578125" customWidth="1"/>
    <col min="6" max="6" width="11.42578125" customWidth="1"/>
    <col min="7" max="7" width="10.85546875" customWidth="1"/>
    <col min="8" max="8" width="11.85546875" customWidth="1"/>
    <col min="9" max="9" width="9.28515625" bestFit="1" customWidth="1"/>
  </cols>
  <sheetData>
    <row r="1" spans="1:9" ht="21">
      <c r="A1" s="1221"/>
      <c r="B1" s="79" t="s">
        <v>724</v>
      </c>
    </row>
    <row r="2" spans="1:9" ht="53.25" customHeight="1">
      <c r="A2" s="583"/>
      <c r="B2" s="583"/>
      <c r="C2" s="583"/>
      <c r="D2" s="583"/>
      <c r="E2" s="583"/>
      <c r="F2" s="583"/>
      <c r="G2" s="1951" t="s">
        <v>2384</v>
      </c>
      <c r="H2" s="1951"/>
      <c r="I2" s="1951"/>
    </row>
    <row r="3" spans="1:9" ht="15.75">
      <c r="A3" s="583"/>
      <c r="B3" s="583"/>
      <c r="C3" s="583"/>
      <c r="D3" s="583"/>
      <c r="E3" s="583"/>
      <c r="F3" s="583"/>
      <c r="G3" s="583"/>
      <c r="H3" s="583"/>
      <c r="I3" s="583"/>
    </row>
    <row r="4" spans="1:9" ht="15.75">
      <c r="A4" s="583"/>
      <c r="C4" s="583"/>
      <c r="D4" s="583"/>
      <c r="E4" s="583"/>
      <c r="F4" s="583"/>
      <c r="G4" s="583"/>
      <c r="H4" s="583"/>
      <c r="I4" s="583"/>
    </row>
    <row r="5" spans="1:9" ht="15.75">
      <c r="A5" s="583"/>
      <c r="B5" s="583"/>
      <c r="C5" s="583"/>
      <c r="D5" s="583"/>
      <c r="E5" s="583"/>
      <c r="F5" s="583"/>
      <c r="G5" s="583"/>
      <c r="H5" s="583"/>
      <c r="I5" s="583"/>
    </row>
    <row r="6" spans="1:9" ht="16.5">
      <c r="A6" s="1948" t="s">
        <v>2385</v>
      </c>
      <c r="B6" s="1948"/>
      <c r="C6" s="1948"/>
      <c r="D6" s="1948"/>
      <c r="E6" s="1948"/>
      <c r="F6" s="1948"/>
      <c r="G6" s="1948"/>
      <c r="H6" s="1948"/>
      <c r="I6" s="1948"/>
    </row>
    <row r="7" spans="1:9" ht="15.75">
      <c r="A7" s="583"/>
      <c r="B7" s="583" t="s">
        <v>2386</v>
      </c>
      <c r="C7" s="583"/>
      <c r="D7" s="583"/>
      <c r="E7" s="583"/>
      <c r="F7" s="583"/>
      <c r="G7" s="583"/>
      <c r="H7" s="583"/>
      <c r="I7" s="583"/>
    </row>
    <row r="8" spans="1:9" ht="15.75">
      <c r="A8" s="583"/>
      <c r="B8" s="583"/>
      <c r="C8" s="583"/>
      <c r="D8" s="583"/>
      <c r="E8" s="583"/>
      <c r="F8" s="583"/>
      <c r="G8" s="583"/>
      <c r="H8" s="583"/>
      <c r="I8" s="583"/>
    </row>
    <row r="9" spans="1:9" ht="48.75" customHeight="1">
      <c r="A9" s="1952" t="s">
        <v>1309</v>
      </c>
      <c r="B9" s="1953" t="s">
        <v>1310</v>
      </c>
      <c r="C9" s="1953" t="s">
        <v>2387</v>
      </c>
      <c r="D9" s="1953" t="s">
        <v>2388</v>
      </c>
      <c r="E9" s="1953"/>
      <c r="F9" s="1953" t="s">
        <v>2389</v>
      </c>
      <c r="G9" s="1953"/>
      <c r="H9" s="1953" t="s">
        <v>2390</v>
      </c>
      <c r="I9" s="1954"/>
    </row>
    <row r="10" spans="1:9" ht="30">
      <c r="A10" s="1952"/>
      <c r="B10" s="1953"/>
      <c r="C10" s="1953"/>
      <c r="D10" s="1381" t="s">
        <v>2391</v>
      </c>
      <c r="E10" s="1381" t="s">
        <v>2392</v>
      </c>
      <c r="F10" s="1381" t="s">
        <v>2391</v>
      </c>
      <c r="G10" s="1381" t="s">
        <v>2392</v>
      </c>
      <c r="H10" s="1381" t="s">
        <v>2391</v>
      </c>
      <c r="I10" s="1382" t="s">
        <v>2392</v>
      </c>
    </row>
    <row r="11" spans="1:9" ht="45">
      <c r="A11" s="1383" t="s">
        <v>756</v>
      </c>
      <c r="B11" s="1384" t="s">
        <v>2393</v>
      </c>
      <c r="C11" s="1383"/>
      <c r="D11" s="1385"/>
      <c r="E11" s="1385"/>
      <c r="F11" s="1385"/>
      <c r="G11" s="1385"/>
      <c r="H11" s="1385"/>
      <c r="I11" s="1385"/>
    </row>
    <row r="12" spans="1:9" ht="21">
      <c r="A12" s="1386" t="s">
        <v>4518</v>
      </c>
      <c r="B12" s="1387" t="s">
        <v>2394</v>
      </c>
      <c r="C12" s="1386"/>
      <c r="D12" s="1388"/>
      <c r="E12" s="1388"/>
      <c r="F12" s="1388"/>
      <c r="G12" s="1388"/>
      <c r="H12" s="1388"/>
      <c r="I12" s="1388"/>
    </row>
    <row r="13" spans="1:9" ht="73.5">
      <c r="A13" s="1386"/>
      <c r="B13" s="1387" t="s">
        <v>2395</v>
      </c>
      <c r="C13" s="1386" t="s">
        <v>2396</v>
      </c>
      <c r="D13" s="1388"/>
      <c r="E13" s="1388"/>
      <c r="F13" s="1388"/>
      <c r="G13" s="1388"/>
      <c r="H13" s="1388"/>
      <c r="I13" s="1388"/>
    </row>
    <row r="14" spans="1:9" ht="63">
      <c r="A14" s="1386"/>
      <c r="B14" s="1387" t="s">
        <v>2397</v>
      </c>
      <c r="C14" s="1386" t="s">
        <v>827</v>
      </c>
      <c r="D14" s="1388"/>
      <c r="E14" s="1388"/>
      <c r="F14" s="1388"/>
      <c r="G14" s="1388"/>
      <c r="H14" s="1388"/>
      <c r="I14" s="1388"/>
    </row>
    <row r="15" spans="1:9" ht="45">
      <c r="A15" s="1383" t="s">
        <v>1320</v>
      </c>
      <c r="B15" s="1384" t="s">
        <v>2398</v>
      </c>
      <c r="C15" s="1383"/>
      <c r="D15" s="1385"/>
      <c r="E15" s="1385"/>
      <c r="F15" s="1385"/>
      <c r="G15" s="1385"/>
      <c r="H15" s="1385"/>
      <c r="I15" s="1385"/>
    </row>
    <row r="16" spans="1:9">
      <c r="A16" s="1383"/>
      <c r="B16" s="1384" t="s">
        <v>2399</v>
      </c>
      <c r="C16" s="1383"/>
      <c r="D16" s="1385"/>
      <c r="E16" s="1385"/>
      <c r="F16" s="1385"/>
      <c r="G16" s="1385"/>
      <c r="H16" s="1389"/>
      <c r="I16" s="1385"/>
    </row>
    <row r="17" spans="1:9">
      <c r="A17" s="1383"/>
      <c r="B17" s="1384" t="s">
        <v>2400</v>
      </c>
      <c r="C17" s="1383" t="s">
        <v>2396</v>
      </c>
      <c r="D17" s="1390">
        <f>57999.59*1000/'п. 9 Г (1,2)'!F19/12</f>
        <v>67735.007100547504</v>
      </c>
      <c r="E17" s="1390">
        <f>+D17</f>
        <v>67735.007100547504</v>
      </c>
      <c r="F17" s="1385">
        <v>73193.53</v>
      </c>
      <c r="G17" s="1385">
        <v>62174.31</v>
      </c>
      <c r="H17" s="1390">
        <v>65027.032003585045</v>
      </c>
      <c r="I17" s="1390">
        <v>65027.032003585045</v>
      </c>
    </row>
    <row r="18" spans="1:9" ht="45">
      <c r="A18" s="1383"/>
      <c r="B18" s="1384" t="s">
        <v>825</v>
      </c>
      <c r="C18" s="1383" t="s">
        <v>827</v>
      </c>
      <c r="D18" s="1391">
        <f>16523.12*1000/'п.п. 11 Б-2'!B228*1000</f>
        <v>90.62512016736197</v>
      </c>
      <c r="E18" s="1391">
        <f>+D18</f>
        <v>90.62512016736197</v>
      </c>
      <c r="F18" s="1385">
        <v>137.05000000000001</v>
      </c>
      <c r="G18" s="1385">
        <v>137.05000000000001</v>
      </c>
      <c r="H18" s="1390">
        <v>152.84696885775949</v>
      </c>
      <c r="I18" s="1390">
        <v>152.84696885775949</v>
      </c>
    </row>
    <row r="19" spans="1:9">
      <c r="A19" s="1383"/>
      <c r="B19" s="1384" t="s">
        <v>2401</v>
      </c>
      <c r="C19" s="1383" t="s">
        <v>827</v>
      </c>
      <c r="D19" s="1391">
        <f>74522.71*1000/'п.п. 11 Б-2'!B228*1000</f>
        <v>408.73815290014647</v>
      </c>
      <c r="E19" s="1391">
        <f>+D19</f>
        <v>408.73815290014647</v>
      </c>
      <c r="F19" s="1385">
        <v>460.35</v>
      </c>
      <c r="G19" s="1385">
        <v>460.35</v>
      </c>
      <c r="H19" s="1390">
        <v>438.882560073825</v>
      </c>
      <c r="I19" s="1390">
        <v>438.882560073825</v>
      </c>
    </row>
    <row r="20" spans="1:9" ht="33.75">
      <c r="A20" s="1392" t="s">
        <v>1272</v>
      </c>
      <c r="B20" s="1393" t="s">
        <v>2402</v>
      </c>
      <c r="C20" s="1392" t="s">
        <v>827</v>
      </c>
      <c r="D20" s="1394"/>
      <c r="E20" s="1394"/>
      <c r="F20" s="1394"/>
      <c r="G20" s="1394"/>
      <c r="H20" s="1394"/>
      <c r="I20" s="1394"/>
    </row>
    <row r="21" spans="1:9">
      <c r="A21" s="1392" t="s">
        <v>3783</v>
      </c>
      <c r="B21" s="1393" t="s">
        <v>2403</v>
      </c>
      <c r="C21" s="1392"/>
      <c r="D21" s="1394"/>
      <c r="E21" s="1394"/>
      <c r="F21" s="1394"/>
      <c r="G21" s="1394"/>
      <c r="H21" s="1394"/>
      <c r="I21" s="1394"/>
    </row>
    <row r="22" spans="1:9" ht="45">
      <c r="A22" s="1392" t="s">
        <v>3107</v>
      </c>
      <c r="B22" s="1393" t="s">
        <v>2404</v>
      </c>
      <c r="C22" s="1392" t="s">
        <v>827</v>
      </c>
      <c r="D22" s="1394"/>
      <c r="E22" s="1394"/>
      <c r="F22" s="1394"/>
      <c r="G22" s="1394"/>
      <c r="H22" s="1394"/>
      <c r="I22" s="1394"/>
    </row>
    <row r="23" spans="1:9" ht="56.25">
      <c r="A23" s="1392" t="s">
        <v>3108</v>
      </c>
      <c r="B23" s="1393" t="s">
        <v>2405</v>
      </c>
      <c r="C23" s="1392" t="s">
        <v>827</v>
      </c>
      <c r="D23" s="1394"/>
      <c r="E23" s="1394"/>
      <c r="F23" s="1394"/>
      <c r="G23" s="1394"/>
      <c r="H23" s="1394"/>
      <c r="I23" s="1394"/>
    </row>
    <row r="24" spans="1:9" ht="22.5">
      <c r="A24" s="1392" t="s">
        <v>3109</v>
      </c>
      <c r="B24" s="1393" t="s">
        <v>2406</v>
      </c>
      <c r="C24" s="1392" t="s">
        <v>1328</v>
      </c>
      <c r="D24" s="1394"/>
      <c r="E24" s="1394"/>
      <c r="F24" s="1394"/>
      <c r="G24" s="1394"/>
      <c r="H24" s="1394"/>
      <c r="I24" s="1394"/>
    </row>
    <row r="25" spans="1:9">
      <c r="A25" s="1392"/>
      <c r="B25" s="1393" t="s">
        <v>2407</v>
      </c>
      <c r="C25" s="1392" t="s">
        <v>1328</v>
      </c>
      <c r="D25" s="1394"/>
      <c r="E25" s="1394"/>
      <c r="F25" s="1394"/>
      <c r="G25" s="1394"/>
      <c r="H25" s="1394"/>
      <c r="I25" s="1394"/>
    </row>
    <row r="26" spans="1:9">
      <c r="A26" s="1392"/>
      <c r="B26" s="1393" t="s">
        <v>2408</v>
      </c>
      <c r="C26" s="1392" t="s">
        <v>1328</v>
      </c>
      <c r="D26" s="1394"/>
      <c r="E26" s="1394"/>
      <c r="F26" s="1394"/>
      <c r="G26" s="1394"/>
      <c r="H26" s="1394"/>
      <c r="I26" s="1394"/>
    </row>
    <row r="27" spans="1:9">
      <c r="A27" s="1392"/>
      <c r="B27" s="1393" t="s">
        <v>2409</v>
      </c>
      <c r="C27" s="1392" t="s">
        <v>1328</v>
      </c>
      <c r="D27" s="1394"/>
      <c r="E27" s="1394"/>
      <c r="F27" s="1394"/>
      <c r="G27" s="1394"/>
      <c r="H27" s="1394"/>
      <c r="I27" s="1394"/>
    </row>
    <row r="28" spans="1:9">
      <c r="A28" s="1392"/>
      <c r="B28" s="1393" t="s">
        <v>2410</v>
      </c>
      <c r="C28" s="1392" t="s">
        <v>1328</v>
      </c>
      <c r="D28" s="1394"/>
      <c r="E28" s="1394"/>
      <c r="F28" s="1394"/>
      <c r="G28" s="1394"/>
      <c r="H28" s="1394"/>
      <c r="I28" s="1394"/>
    </row>
    <row r="29" spans="1:9">
      <c r="A29" s="1392" t="s">
        <v>3761</v>
      </c>
      <c r="B29" s="1393" t="s">
        <v>2411</v>
      </c>
      <c r="C29" s="1392" t="s">
        <v>1328</v>
      </c>
      <c r="D29" s="1394"/>
      <c r="E29" s="1394"/>
      <c r="F29" s="1394"/>
      <c r="G29" s="1394"/>
      <c r="H29" s="1394"/>
      <c r="I29" s="1394"/>
    </row>
    <row r="30" spans="1:9">
      <c r="A30" s="1392" t="s">
        <v>1367</v>
      </c>
      <c r="B30" s="1393" t="s">
        <v>2412</v>
      </c>
      <c r="C30" s="1392" t="s">
        <v>2413</v>
      </c>
      <c r="D30" s="1394"/>
      <c r="E30" s="1394"/>
      <c r="F30" s="1394"/>
      <c r="G30" s="1394"/>
      <c r="H30" s="1394"/>
      <c r="I30" s="1394"/>
    </row>
    <row r="31" spans="1:9">
      <c r="A31" s="1392"/>
      <c r="B31" s="1393" t="s">
        <v>2414</v>
      </c>
      <c r="C31" s="1392" t="s">
        <v>2413</v>
      </c>
      <c r="D31" s="1394"/>
      <c r="E31" s="1394"/>
      <c r="F31" s="1394"/>
      <c r="G31" s="1394"/>
      <c r="H31" s="1394"/>
      <c r="I31" s="1394"/>
    </row>
    <row r="32" spans="1:9">
      <c r="A32" s="1392" t="s">
        <v>2231</v>
      </c>
      <c r="B32" s="1393" t="s">
        <v>2415</v>
      </c>
      <c r="C32" s="1392" t="s">
        <v>2396</v>
      </c>
      <c r="D32" s="1394"/>
      <c r="E32" s="1394"/>
      <c r="F32" s="1394"/>
      <c r="G32" s="1394"/>
      <c r="H32" s="1394"/>
      <c r="I32" s="1394"/>
    </row>
    <row r="33" spans="1:9" ht="22.5">
      <c r="A33" s="1392" t="s">
        <v>2234</v>
      </c>
      <c r="B33" s="1393" t="s">
        <v>2416</v>
      </c>
      <c r="C33" s="1392" t="s">
        <v>2417</v>
      </c>
      <c r="D33" s="1394"/>
      <c r="E33" s="1394"/>
      <c r="F33" s="1394"/>
      <c r="G33" s="1394"/>
      <c r="H33" s="1394"/>
      <c r="I33" s="1394"/>
    </row>
    <row r="34" spans="1:9" ht="22.5">
      <c r="A34" s="1392" t="s">
        <v>2418</v>
      </c>
      <c r="B34" s="1393" t="s">
        <v>2419</v>
      </c>
      <c r="C34" s="1392" t="s">
        <v>2417</v>
      </c>
      <c r="D34" s="1394"/>
      <c r="E34" s="1394"/>
      <c r="F34" s="1394"/>
      <c r="G34" s="1394"/>
      <c r="H34" s="1394"/>
      <c r="I34" s="1394"/>
    </row>
    <row r="35" spans="1:9" ht="22.5">
      <c r="A35" s="1392" t="s">
        <v>2420</v>
      </c>
      <c r="B35" s="1393" t="s">
        <v>2421</v>
      </c>
      <c r="C35" s="1392" t="s">
        <v>2417</v>
      </c>
      <c r="D35" s="1394"/>
      <c r="E35" s="1394"/>
      <c r="F35" s="1394"/>
      <c r="G35" s="1394"/>
      <c r="H35" s="1394"/>
      <c r="I35" s="1394"/>
    </row>
    <row r="36" spans="1:9">
      <c r="A36" s="1392"/>
      <c r="B36" s="1393" t="s">
        <v>2422</v>
      </c>
      <c r="C36" s="1392" t="s">
        <v>2417</v>
      </c>
      <c r="D36" s="1394"/>
      <c r="E36" s="1394"/>
      <c r="F36" s="1394"/>
      <c r="G36" s="1394"/>
      <c r="H36" s="1394"/>
      <c r="I36" s="1394"/>
    </row>
    <row r="37" spans="1:9">
      <c r="A37" s="1392"/>
      <c r="B37" s="1393" t="s">
        <v>2423</v>
      </c>
      <c r="C37" s="1392" t="s">
        <v>2417</v>
      </c>
      <c r="D37" s="1394"/>
      <c r="E37" s="1394"/>
      <c r="F37" s="1394"/>
      <c r="G37" s="1394"/>
      <c r="H37" s="1394"/>
      <c r="I37" s="1394"/>
    </row>
    <row r="38" spans="1:9">
      <c r="A38" s="1392"/>
      <c r="B38" s="1393" t="s">
        <v>2424</v>
      </c>
      <c r="C38" s="1392" t="s">
        <v>2417</v>
      </c>
      <c r="D38" s="1394"/>
      <c r="E38" s="1394"/>
      <c r="F38" s="1394"/>
      <c r="G38" s="1394"/>
      <c r="H38" s="1394"/>
      <c r="I38" s="1394"/>
    </row>
    <row r="39" spans="1:9">
      <c r="A39" s="1392"/>
      <c r="B39" s="1393" t="s">
        <v>2425</v>
      </c>
      <c r="C39" s="1392" t="s">
        <v>2417</v>
      </c>
      <c r="D39" s="1394"/>
      <c r="E39" s="1394"/>
      <c r="F39" s="1394"/>
      <c r="G39" s="1394"/>
      <c r="H39" s="1394"/>
      <c r="I39" s="1394"/>
    </row>
    <row r="40" spans="1:9" ht="22.5">
      <c r="A40" s="1392" t="s">
        <v>2426</v>
      </c>
      <c r="B40" s="1393" t="s">
        <v>2427</v>
      </c>
      <c r="C40" s="1392" t="s">
        <v>2417</v>
      </c>
      <c r="D40" s="1394"/>
      <c r="E40" s="1394"/>
      <c r="F40" s="1394"/>
      <c r="G40" s="1394"/>
      <c r="H40" s="1394"/>
      <c r="I40" s="1394"/>
    </row>
    <row r="41" spans="1:9" ht="22.5">
      <c r="A41" s="1392" t="s">
        <v>2237</v>
      </c>
      <c r="B41" s="1393" t="s">
        <v>2428</v>
      </c>
      <c r="C41" s="1392"/>
      <c r="D41" s="1394"/>
      <c r="E41" s="1394"/>
      <c r="F41" s="1394"/>
      <c r="G41" s="1394"/>
      <c r="H41" s="1394"/>
      <c r="I41" s="1394"/>
    </row>
    <row r="42" spans="1:9" ht="22.5">
      <c r="A42" s="1392" t="s">
        <v>1299</v>
      </c>
      <c r="B42" s="1393" t="s">
        <v>2429</v>
      </c>
      <c r="C42" s="1392" t="s">
        <v>2430</v>
      </c>
      <c r="D42" s="1394"/>
      <c r="E42" s="1394"/>
      <c r="F42" s="1394"/>
      <c r="G42" s="1394"/>
      <c r="H42" s="1394"/>
      <c r="I42" s="1394"/>
    </row>
    <row r="43" spans="1:9" ht="22.5">
      <c r="A43" s="1392" t="s">
        <v>2431</v>
      </c>
      <c r="B43" s="1393" t="s">
        <v>2432</v>
      </c>
      <c r="C43" s="1392" t="s">
        <v>2417</v>
      </c>
      <c r="D43" s="1394"/>
      <c r="E43" s="1394"/>
      <c r="F43" s="1394"/>
      <c r="G43" s="1394"/>
      <c r="H43" s="1394"/>
      <c r="I43" s="1394"/>
    </row>
    <row r="44" spans="1:9" ht="22.5">
      <c r="A44" s="1392" t="s">
        <v>2433</v>
      </c>
      <c r="B44" s="1393" t="s">
        <v>2434</v>
      </c>
      <c r="C44" s="1392" t="s">
        <v>2435</v>
      </c>
      <c r="D44" s="1394"/>
      <c r="E44" s="1394"/>
      <c r="F44" s="1394"/>
      <c r="G44" s="1394"/>
      <c r="H44" s="1394"/>
      <c r="I44" s="1394"/>
    </row>
    <row r="45" spans="1:9">
      <c r="A45" s="1392"/>
      <c r="B45" s="1393" t="s">
        <v>2436</v>
      </c>
      <c r="C45" s="1392" t="s">
        <v>2435</v>
      </c>
      <c r="D45" s="1394"/>
      <c r="E45" s="1394"/>
      <c r="F45" s="1394"/>
      <c r="G45" s="1394"/>
      <c r="H45" s="1394"/>
      <c r="I45" s="1394"/>
    </row>
    <row r="46" spans="1:9">
      <c r="A46" s="1395"/>
      <c r="B46" s="1396" t="s">
        <v>3959</v>
      </c>
      <c r="C46" s="1395" t="s">
        <v>2435</v>
      </c>
      <c r="D46" s="1397"/>
      <c r="E46" s="1397"/>
      <c r="F46" s="1397"/>
      <c r="G46" s="1397"/>
      <c r="H46" s="1397"/>
      <c r="I46" s="1397"/>
    </row>
    <row r="47" spans="1:9" ht="21">
      <c r="A47" s="1398"/>
      <c r="B47" s="1376"/>
      <c r="C47" s="1376"/>
      <c r="D47" s="1376"/>
      <c r="E47" s="1376"/>
      <c r="F47" s="1376"/>
      <c r="G47" s="1376"/>
      <c r="H47" s="1376"/>
      <c r="I47" s="1376"/>
    </row>
    <row r="48" spans="1:9" ht="84.75" customHeight="1">
      <c r="A48" s="583"/>
      <c r="B48" s="583"/>
      <c r="C48" s="583"/>
      <c r="D48" s="583"/>
      <c r="E48" s="583"/>
      <c r="F48" s="583"/>
      <c r="G48" s="1951" t="s">
        <v>2384</v>
      </c>
      <c r="H48" s="1951"/>
      <c r="I48" s="1951"/>
    </row>
    <row r="49" spans="1:9" ht="15.75">
      <c r="A49" s="583"/>
      <c r="B49" s="583"/>
      <c r="C49" s="583"/>
      <c r="D49" s="583"/>
      <c r="E49" s="583"/>
      <c r="F49" s="583"/>
      <c r="G49" s="583"/>
      <c r="H49" s="583"/>
      <c r="I49" s="583"/>
    </row>
    <row r="50" spans="1:9" ht="15.75">
      <c r="A50" s="583"/>
      <c r="C50" s="583"/>
      <c r="D50" s="583"/>
      <c r="E50" s="583"/>
      <c r="F50" s="583"/>
      <c r="G50" s="583"/>
      <c r="H50" s="583"/>
      <c r="I50" s="583"/>
    </row>
    <row r="51" spans="1:9" ht="16.5" customHeight="1">
      <c r="A51" s="583"/>
      <c r="B51" s="583"/>
      <c r="C51" s="583"/>
      <c r="D51" s="583"/>
      <c r="E51" s="583"/>
      <c r="F51" s="583"/>
      <c r="G51" s="583"/>
      <c r="H51" s="583"/>
      <c r="I51" s="583"/>
    </row>
    <row r="52" spans="1:9" ht="16.5" customHeight="1">
      <c r="A52" s="1948" t="s">
        <v>2385</v>
      </c>
      <c r="B52" s="1948"/>
      <c r="C52" s="1948"/>
      <c r="D52" s="1948"/>
      <c r="E52" s="1948"/>
      <c r="F52" s="1948"/>
      <c r="G52" s="1948"/>
      <c r="H52" s="1948"/>
      <c r="I52" s="1948"/>
    </row>
    <row r="53" spans="1:9" ht="15.75">
      <c r="A53" s="583"/>
      <c r="B53" s="583" t="s">
        <v>2437</v>
      </c>
      <c r="C53" s="583"/>
      <c r="D53" s="583"/>
      <c r="E53" s="583"/>
      <c r="F53" s="583"/>
      <c r="G53" s="583"/>
      <c r="H53" s="583"/>
      <c r="I53" s="583"/>
    </row>
    <row r="54" spans="1:9" ht="15.75">
      <c r="A54" s="583"/>
      <c r="B54" s="583"/>
      <c r="C54" s="583"/>
      <c r="D54" s="583"/>
      <c r="E54" s="583"/>
      <c r="F54" s="583"/>
      <c r="G54" s="583"/>
      <c r="H54" s="583"/>
      <c r="I54" s="583"/>
    </row>
    <row r="55" spans="1:9" ht="49.5" customHeight="1">
      <c r="A55" s="1952" t="s">
        <v>1309</v>
      </c>
      <c r="B55" s="1953" t="s">
        <v>1310</v>
      </c>
      <c r="C55" s="1953" t="s">
        <v>2387</v>
      </c>
      <c r="D55" s="1953" t="s">
        <v>2438</v>
      </c>
      <c r="E55" s="1953"/>
      <c r="F55" s="1953" t="s">
        <v>2439</v>
      </c>
      <c r="G55" s="1953"/>
      <c r="H55" s="1953" t="s">
        <v>2440</v>
      </c>
      <c r="I55" s="1954"/>
    </row>
    <row r="56" spans="1:9" ht="30">
      <c r="A56" s="1952"/>
      <c r="B56" s="1953"/>
      <c r="C56" s="1953"/>
      <c r="D56" s="1381" t="s">
        <v>2391</v>
      </c>
      <c r="E56" s="1381" t="s">
        <v>2392</v>
      </c>
      <c r="F56" s="1381" t="s">
        <v>2391</v>
      </c>
      <c r="G56" s="1381" t="s">
        <v>2392</v>
      </c>
      <c r="H56" s="1381" t="s">
        <v>2391</v>
      </c>
      <c r="I56" s="1382" t="s">
        <v>2392</v>
      </c>
    </row>
    <row r="57" spans="1:9" ht="45">
      <c r="A57" s="1383" t="s">
        <v>756</v>
      </c>
      <c r="B57" s="1384" t="s">
        <v>2393</v>
      </c>
      <c r="C57" s="1383"/>
      <c r="D57" s="1385"/>
      <c r="E57" s="1385"/>
      <c r="F57" s="1385"/>
      <c r="G57" s="1385"/>
      <c r="H57" s="1385"/>
      <c r="I57" s="1385"/>
    </row>
    <row r="58" spans="1:9" ht="21">
      <c r="A58" s="1386" t="s">
        <v>4518</v>
      </c>
      <c r="B58" s="1387" t="s">
        <v>2394</v>
      </c>
      <c r="C58" s="1386"/>
      <c r="D58" s="1388"/>
      <c r="E58" s="1388"/>
      <c r="F58" s="1388"/>
      <c r="G58" s="1388"/>
      <c r="H58" s="1388"/>
      <c r="I58" s="1388"/>
    </row>
    <row r="59" spans="1:9" ht="73.5">
      <c r="A59" s="1386"/>
      <c r="B59" s="1387" t="s">
        <v>2395</v>
      </c>
      <c r="C59" s="1386" t="s">
        <v>2396</v>
      </c>
      <c r="D59" s="1388"/>
      <c r="E59" s="1388"/>
      <c r="F59" s="1388"/>
      <c r="G59" s="1388"/>
      <c r="H59" s="1388"/>
      <c r="I59" s="1388"/>
    </row>
    <row r="60" spans="1:9" ht="63">
      <c r="A60" s="1386"/>
      <c r="B60" s="1387" t="s">
        <v>2397</v>
      </c>
      <c r="C60" s="1386" t="s">
        <v>827</v>
      </c>
      <c r="D60" s="1388"/>
      <c r="E60" s="1388"/>
      <c r="F60" s="1388"/>
      <c r="G60" s="1388"/>
      <c r="H60" s="1388"/>
      <c r="I60" s="1388"/>
    </row>
    <row r="61" spans="1:9" ht="45">
      <c r="A61" s="1383" t="s">
        <v>1320</v>
      </c>
      <c r="B61" s="1384" t="s">
        <v>2398</v>
      </c>
      <c r="C61" s="1383"/>
      <c r="D61" s="1385"/>
      <c r="E61" s="1385"/>
      <c r="F61" s="1385"/>
      <c r="G61" s="1385"/>
      <c r="H61" s="1385"/>
      <c r="I61" s="1385"/>
    </row>
    <row r="62" spans="1:9">
      <c r="A62" s="1383"/>
      <c r="B62" s="1384" t="s">
        <v>2399</v>
      </c>
      <c r="C62" s="1383"/>
      <c r="D62" s="1385"/>
      <c r="E62" s="1385"/>
      <c r="F62" s="1385"/>
      <c r="G62" s="1385"/>
      <c r="H62" s="1389"/>
      <c r="I62" s="1385"/>
    </row>
    <row r="63" spans="1:9">
      <c r="A63" s="1383"/>
      <c r="B63" s="1384" t="s">
        <v>2400</v>
      </c>
      <c r="C63" s="1383" t="s">
        <v>2396</v>
      </c>
      <c r="D63" s="1391">
        <f>59831.26*1000/'п. 9 Г (1,2)'!F67/12</f>
        <v>72202.423189245281</v>
      </c>
      <c r="E63" s="1391">
        <v>72202.423189245281</v>
      </c>
      <c r="F63" s="1385">
        <v>71461.289999999994</v>
      </c>
      <c r="G63" s="1385">
        <v>58136.57</v>
      </c>
      <c r="H63" s="1390">
        <v>76325.867421095012</v>
      </c>
      <c r="I63" s="1390">
        <v>76325.867421095012</v>
      </c>
    </row>
    <row r="64" spans="1:9" ht="45">
      <c r="A64" s="1383"/>
      <c r="B64" s="1384" t="s">
        <v>825</v>
      </c>
      <c r="C64" s="1383" t="s">
        <v>827</v>
      </c>
      <c r="D64" s="1391">
        <f>16523.12*1000000/'п.п. 11 Б-2'!B196</f>
        <v>110.90967220230989</v>
      </c>
      <c r="E64" s="1391">
        <v>110.90965079031378</v>
      </c>
      <c r="F64" s="1385">
        <v>144.24</v>
      </c>
      <c r="G64" s="1385">
        <v>144.24</v>
      </c>
      <c r="H64" s="1390">
        <v>155.92344</v>
      </c>
      <c r="I64" s="1390">
        <v>155.92344</v>
      </c>
    </row>
    <row r="65" spans="1:9">
      <c r="A65" s="1383"/>
      <c r="B65" s="1384" t="s">
        <v>2401</v>
      </c>
      <c r="C65" s="1383" t="s">
        <v>827</v>
      </c>
      <c r="D65" s="1399">
        <f>76354.38*1000000/'п.п. 11 Б-2'!B196</f>
        <v>512.52059278215052</v>
      </c>
      <c r="E65" s="1399">
        <v>512.52057137015447</v>
      </c>
      <c r="F65" s="1385">
        <v>511.66</v>
      </c>
      <c r="G65" s="1385">
        <v>511.66</v>
      </c>
      <c r="H65" s="1390">
        <v>546.61106292832176</v>
      </c>
      <c r="I65" s="1390">
        <v>546.61106292832176</v>
      </c>
    </row>
    <row r="66" spans="1:9" ht="33.75">
      <c r="A66" s="1392" t="s">
        <v>1272</v>
      </c>
      <c r="B66" s="1393" t="s">
        <v>2402</v>
      </c>
      <c r="C66" s="1392" t="s">
        <v>827</v>
      </c>
      <c r="D66" s="1394"/>
      <c r="E66" s="1394"/>
      <c r="F66" s="1394"/>
      <c r="G66" s="1394"/>
      <c r="H66" s="1394"/>
      <c r="I66" s="1394"/>
    </row>
    <row r="67" spans="1:9">
      <c r="A67" s="1392" t="s">
        <v>3783</v>
      </c>
      <c r="B67" s="1393" t="s">
        <v>2403</v>
      </c>
      <c r="C67" s="1392"/>
      <c r="D67" s="1394"/>
      <c r="E67" s="1394"/>
      <c r="F67" s="1394"/>
      <c r="G67" s="1394"/>
      <c r="H67" s="1394"/>
      <c r="I67" s="1394"/>
    </row>
    <row r="68" spans="1:9" ht="45">
      <c r="A68" s="1392" t="s">
        <v>3107</v>
      </c>
      <c r="B68" s="1393" t="s">
        <v>2404</v>
      </c>
      <c r="C68" s="1392" t="s">
        <v>827</v>
      </c>
      <c r="D68" s="1394"/>
      <c r="E68" s="1394"/>
      <c r="F68" s="1394"/>
      <c r="G68" s="1394"/>
      <c r="H68" s="1394"/>
      <c r="I68" s="1394"/>
    </row>
    <row r="69" spans="1:9" ht="56.25">
      <c r="A69" s="1392" t="s">
        <v>3108</v>
      </c>
      <c r="B69" s="1393" t="s">
        <v>2405</v>
      </c>
      <c r="C69" s="1392" t="s">
        <v>827</v>
      </c>
      <c r="D69" s="1394"/>
      <c r="E69" s="1394"/>
      <c r="F69" s="1394"/>
      <c r="G69" s="1394"/>
      <c r="H69" s="1394"/>
      <c r="I69" s="1394"/>
    </row>
    <row r="70" spans="1:9" ht="22.5">
      <c r="A70" s="1392" t="s">
        <v>3109</v>
      </c>
      <c r="B70" s="1393" t="s">
        <v>2406</v>
      </c>
      <c r="C70" s="1392" t="s">
        <v>1328</v>
      </c>
      <c r="D70" s="1394"/>
      <c r="E70" s="1394"/>
      <c r="F70" s="1394"/>
      <c r="G70" s="1394"/>
      <c r="H70" s="1394"/>
      <c r="I70" s="1394"/>
    </row>
    <row r="71" spans="1:9">
      <c r="A71" s="1392"/>
      <c r="B71" s="1393" t="s">
        <v>2407</v>
      </c>
      <c r="C71" s="1392" t="s">
        <v>1328</v>
      </c>
      <c r="D71" s="1394"/>
      <c r="E71" s="1394"/>
      <c r="F71" s="1394"/>
      <c r="G71" s="1394"/>
      <c r="H71" s="1394"/>
      <c r="I71" s="1394"/>
    </row>
    <row r="72" spans="1:9">
      <c r="A72" s="1392"/>
      <c r="B72" s="1393" t="s">
        <v>2408</v>
      </c>
      <c r="C72" s="1392" t="s">
        <v>1328</v>
      </c>
      <c r="D72" s="1394"/>
      <c r="E72" s="1394"/>
      <c r="F72" s="1394"/>
      <c r="G72" s="1394"/>
      <c r="H72" s="1394"/>
      <c r="I72" s="1394"/>
    </row>
    <row r="73" spans="1:9">
      <c r="A73" s="1392"/>
      <c r="B73" s="1393" t="s">
        <v>2409</v>
      </c>
      <c r="C73" s="1392" t="s">
        <v>1328</v>
      </c>
      <c r="D73" s="1394"/>
      <c r="E73" s="1394"/>
      <c r="F73" s="1394"/>
      <c r="G73" s="1394"/>
      <c r="H73" s="1394"/>
      <c r="I73" s="1394"/>
    </row>
    <row r="74" spans="1:9">
      <c r="A74" s="1392"/>
      <c r="B74" s="1393" t="s">
        <v>2410</v>
      </c>
      <c r="C74" s="1392" t="s">
        <v>1328</v>
      </c>
      <c r="D74" s="1394"/>
      <c r="E74" s="1394"/>
      <c r="F74" s="1394"/>
      <c r="G74" s="1394"/>
      <c r="H74" s="1394"/>
      <c r="I74" s="1394"/>
    </row>
    <row r="75" spans="1:9">
      <c r="A75" s="1392" t="s">
        <v>3761</v>
      </c>
      <c r="B75" s="1393" t="s">
        <v>2411</v>
      </c>
      <c r="C75" s="1392" t="s">
        <v>1328</v>
      </c>
      <c r="D75" s="1394"/>
      <c r="E75" s="1394"/>
      <c r="F75" s="1394"/>
      <c r="G75" s="1394"/>
      <c r="H75" s="1394"/>
      <c r="I75" s="1394"/>
    </row>
    <row r="76" spans="1:9">
      <c r="A76" s="1392" t="s">
        <v>1367</v>
      </c>
      <c r="B76" s="1393" t="s">
        <v>2412</v>
      </c>
      <c r="C76" s="1392" t="s">
        <v>2413</v>
      </c>
      <c r="D76" s="1394"/>
      <c r="E76" s="1394"/>
      <c r="F76" s="1394"/>
      <c r="G76" s="1394"/>
      <c r="H76" s="1394"/>
      <c r="I76" s="1394"/>
    </row>
    <row r="77" spans="1:9">
      <c r="A77" s="1392"/>
      <c r="B77" s="1393" t="s">
        <v>2414</v>
      </c>
      <c r="C77" s="1392" t="s">
        <v>2413</v>
      </c>
      <c r="D77" s="1394"/>
      <c r="E77" s="1394"/>
      <c r="F77" s="1394"/>
      <c r="G77" s="1394"/>
      <c r="H77" s="1394"/>
      <c r="I77" s="1394"/>
    </row>
    <row r="78" spans="1:9">
      <c r="A78" s="1392" t="s">
        <v>2231</v>
      </c>
      <c r="B78" s="1393" t="s">
        <v>2415</v>
      </c>
      <c r="C78" s="1392" t="s">
        <v>2396</v>
      </c>
      <c r="D78" s="1394"/>
      <c r="E78" s="1394"/>
      <c r="F78" s="1394"/>
      <c r="G78" s="1394"/>
      <c r="H78" s="1394"/>
      <c r="I78" s="1394"/>
    </row>
    <row r="79" spans="1:9" ht="22.5">
      <c r="A79" s="1392" t="s">
        <v>2234</v>
      </c>
      <c r="B79" s="1393" t="s">
        <v>2416</v>
      </c>
      <c r="C79" s="1392" t="s">
        <v>2417</v>
      </c>
      <c r="D79" s="1394"/>
      <c r="E79" s="1394"/>
      <c r="F79" s="1394"/>
      <c r="G79" s="1394"/>
      <c r="H79" s="1394"/>
      <c r="I79" s="1394"/>
    </row>
    <row r="80" spans="1:9" ht="22.5">
      <c r="A80" s="1392" t="s">
        <v>2418</v>
      </c>
      <c r="B80" s="1393" t="s">
        <v>2419</v>
      </c>
      <c r="C80" s="1392" t="s">
        <v>2417</v>
      </c>
      <c r="D80" s="1394"/>
      <c r="E80" s="1394"/>
      <c r="F80" s="1394"/>
      <c r="G80" s="1394"/>
      <c r="H80" s="1394"/>
      <c r="I80" s="1394"/>
    </row>
    <row r="81" spans="1:9" ht="22.5">
      <c r="A81" s="1392" t="s">
        <v>2420</v>
      </c>
      <c r="B81" s="1393" t="s">
        <v>2421</v>
      </c>
      <c r="C81" s="1392" t="s">
        <v>2417</v>
      </c>
      <c r="D81" s="1394"/>
      <c r="E81" s="1394"/>
      <c r="F81" s="1394"/>
      <c r="G81" s="1394"/>
      <c r="H81" s="1394"/>
      <c r="I81" s="1394"/>
    </row>
    <row r="82" spans="1:9">
      <c r="A82" s="1392"/>
      <c r="B82" s="1393" t="s">
        <v>2422</v>
      </c>
      <c r="C82" s="1392" t="s">
        <v>2417</v>
      </c>
      <c r="D82" s="1394"/>
      <c r="E82" s="1394"/>
      <c r="F82" s="1394"/>
      <c r="G82" s="1394"/>
      <c r="H82" s="1394"/>
      <c r="I82" s="1394"/>
    </row>
    <row r="83" spans="1:9">
      <c r="A83" s="1392"/>
      <c r="B83" s="1393" t="s">
        <v>2423</v>
      </c>
      <c r="C83" s="1392" t="s">
        <v>2417</v>
      </c>
      <c r="D83" s="1394"/>
      <c r="E83" s="1394"/>
      <c r="F83" s="1394"/>
      <c r="G83" s="1394"/>
      <c r="H83" s="1394"/>
      <c r="I83" s="1394"/>
    </row>
    <row r="84" spans="1:9">
      <c r="A84" s="1392"/>
      <c r="B84" s="1393" t="s">
        <v>2424</v>
      </c>
      <c r="C84" s="1392" t="s">
        <v>2417</v>
      </c>
      <c r="D84" s="1394"/>
      <c r="E84" s="1394"/>
      <c r="F84" s="1394"/>
      <c r="G84" s="1394"/>
      <c r="H84" s="1394"/>
      <c r="I84" s="1394"/>
    </row>
    <row r="85" spans="1:9">
      <c r="A85" s="1392"/>
      <c r="B85" s="1393" t="s">
        <v>2425</v>
      </c>
      <c r="C85" s="1392" t="s">
        <v>2417</v>
      </c>
      <c r="D85" s="1394"/>
      <c r="E85" s="1394"/>
      <c r="F85" s="1394"/>
      <c r="G85" s="1394"/>
      <c r="H85" s="1394"/>
      <c r="I85" s="1394"/>
    </row>
    <row r="86" spans="1:9" ht="22.5">
      <c r="A86" s="1392" t="s">
        <v>2426</v>
      </c>
      <c r="B86" s="1393" t="s">
        <v>2427</v>
      </c>
      <c r="C86" s="1392" t="s">
        <v>2417</v>
      </c>
      <c r="D86" s="1394"/>
      <c r="E86" s="1394"/>
      <c r="F86" s="1394"/>
      <c r="G86" s="1394"/>
      <c r="H86" s="1394"/>
      <c r="I86" s="1394"/>
    </row>
    <row r="87" spans="1:9" ht="22.5">
      <c r="A87" s="1392" t="s">
        <v>2237</v>
      </c>
      <c r="B87" s="1393" t="s">
        <v>2428</v>
      </c>
      <c r="C87" s="1392"/>
      <c r="D87" s="1394"/>
      <c r="E87" s="1394"/>
      <c r="F87" s="1394"/>
      <c r="G87" s="1394"/>
      <c r="H87" s="1394"/>
      <c r="I87" s="1394"/>
    </row>
    <row r="88" spans="1:9" ht="22.5">
      <c r="A88" s="1392" t="s">
        <v>1299</v>
      </c>
      <c r="B88" s="1393" t="s">
        <v>2429</v>
      </c>
      <c r="C88" s="1392" t="s">
        <v>2430</v>
      </c>
      <c r="D88" s="1394"/>
      <c r="E88" s="1394"/>
      <c r="F88" s="1394"/>
      <c r="G88" s="1394"/>
      <c r="H88" s="1394"/>
      <c r="I88" s="1394"/>
    </row>
    <row r="89" spans="1:9" ht="22.5">
      <c r="A89" s="1392" t="s">
        <v>2431</v>
      </c>
      <c r="B89" s="1393" t="s">
        <v>2432</v>
      </c>
      <c r="C89" s="1392" t="s">
        <v>2417</v>
      </c>
      <c r="D89" s="1394"/>
      <c r="E89" s="1394"/>
      <c r="F89" s="1394"/>
      <c r="G89" s="1394"/>
      <c r="H89" s="1394"/>
      <c r="I89" s="1394"/>
    </row>
    <row r="90" spans="1:9" ht="22.5">
      <c r="A90" s="1392" t="s">
        <v>2433</v>
      </c>
      <c r="B90" s="1393" t="s">
        <v>2434</v>
      </c>
      <c r="C90" s="1392" t="s">
        <v>2435</v>
      </c>
      <c r="D90" s="1394"/>
      <c r="E90" s="1394"/>
      <c r="F90" s="1394"/>
      <c r="G90" s="1394"/>
      <c r="H90" s="1394"/>
      <c r="I90" s="1394"/>
    </row>
    <row r="91" spans="1:9">
      <c r="A91" s="1392"/>
      <c r="B91" s="1393" t="s">
        <v>2436</v>
      </c>
      <c r="C91" s="1392" t="s">
        <v>2435</v>
      </c>
      <c r="D91" s="1394"/>
      <c r="E91" s="1394"/>
      <c r="F91" s="1394"/>
      <c r="G91" s="1394"/>
      <c r="H91" s="1394"/>
      <c r="I91" s="1394"/>
    </row>
    <row r="92" spans="1:9">
      <c r="A92" s="1395"/>
      <c r="B92" s="1396" t="s">
        <v>3959</v>
      </c>
      <c r="C92" s="1395" t="s">
        <v>2435</v>
      </c>
      <c r="D92" s="1397"/>
      <c r="E92" s="1397"/>
      <c r="F92" s="1397"/>
      <c r="G92" s="1397"/>
      <c r="H92" s="1397"/>
      <c r="I92" s="1397"/>
    </row>
    <row r="93" spans="1:9">
      <c r="A93" s="1374" t="s">
        <v>2441</v>
      </c>
      <c r="B93" s="1375"/>
      <c r="C93" s="1375"/>
      <c r="D93" s="1375"/>
      <c r="E93" s="1375"/>
      <c r="F93" s="1375"/>
      <c r="G93" s="1375"/>
      <c r="H93" s="1375"/>
      <c r="I93" s="1375"/>
    </row>
  </sheetData>
  <mergeCells count="16">
    <mergeCell ref="G2:I2"/>
    <mergeCell ref="A6:I6"/>
    <mergeCell ref="A9:A10"/>
    <mergeCell ref="B9:B10"/>
    <mergeCell ref="C9:C10"/>
    <mergeCell ref="D9:E9"/>
    <mergeCell ref="F9:G9"/>
    <mergeCell ref="H9:I9"/>
    <mergeCell ref="G48:I48"/>
    <mergeCell ref="A52:I52"/>
    <mergeCell ref="A55:A56"/>
    <mergeCell ref="B55:B56"/>
    <mergeCell ref="C55:C56"/>
    <mergeCell ref="D55:E55"/>
    <mergeCell ref="F55:G55"/>
    <mergeCell ref="H55:I55"/>
  </mergeCells>
  <phoneticPr fontId="0" type="noConversion"/>
  <hyperlinks>
    <hyperlink ref="B1" location="Главная!A1" display="Переход на главную страницу"/>
  </hyperlinks>
  <pageMargins left="0.7" right="0.7" top="0.75" bottom="0.75" header="0.3" footer="0.3"/>
  <pageSetup paperSize="9" scale="21" orientation="landscape" r:id="rId1"/>
  <headerFooter alignWithMargins="0"/>
</worksheet>
</file>

<file path=xl/worksheets/sheet39.xml><?xml version="1.0" encoding="utf-8"?>
<worksheet xmlns="http://schemas.openxmlformats.org/spreadsheetml/2006/main" xmlns:r="http://schemas.openxmlformats.org/officeDocument/2006/relationships">
  <sheetPr>
    <tabColor theme="0"/>
    <pageSetUpPr fitToPage="1"/>
  </sheetPr>
  <dimension ref="O1:V66"/>
  <sheetViews>
    <sheetView view="pageBreakPreview" topLeftCell="O1" zoomScale="85" zoomScaleNormal="85" workbookViewId="0">
      <selection activeCell="G7" sqref="F7:G17"/>
    </sheetView>
  </sheetViews>
  <sheetFormatPr defaultRowHeight="15"/>
  <cols>
    <col min="1" max="1" width="110" bestFit="1" customWidth="1"/>
    <col min="2" max="2" width="4.42578125" customWidth="1"/>
    <col min="4" max="4" width="20.42578125" customWidth="1"/>
    <col min="5" max="5" width="21.85546875" customWidth="1"/>
    <col min="6" max="6" width="24.140625" customWidth="1"/>
    <col min="7" max="7" width="21.140625" customWidth="1"/>
    <col min="8" max="8" width="26.28515625" customWidth="1"/>
    <col min="15" max="15" width="45.5703125" customWidth="1"/>
    <col min="16" max="16" width="30.85546875" customWidth="1"/>
    <col min="17" max="17" width="17.7109375" customWidth="1"/>
    <col min="18" max="18" width="14.140625" customWidth="1"/>
    <col min="19" max="19" width="13.42578125" customWidth="1"/>
    <col min="20" max="20" width="11.42578125" customWidth="1"/>
    <col min="21" max="21" width="10.85546875" customWidth="1"/>
    <col min="22" max="22" width="11.85546875" customWidth="1"/>
  </cols>
  <sheetData>
    <row r="1" spans="15:21" ht="15.75">
      <c r="O1" s="79" t="s">
        <v>724</v>
      </c>
    </row>
    <row r="2" spans="15:21" ht="18.75">
      <c r="O2" s="1250"/>
    </row>
    <row r="3" spans="15:21">
      <c r="O3" s="1964" t="s">
        <v>820</v>
      </c>
      <c r="P3" s="1964"/>
      <c r="Q3" s="1964"/>
      <c r="R3" s="1964"/>
      <c r="S3" s="1964"/>
    </row>
    <row r="4" spans="15:21">
      <c r="O4" s="1969" t="s">
        <v>1459</v>
      </c>
      <c r="P4" s="1969"/>
      <c r="Q4" s="1969"/>
      <c r="R4" s="1969"/>
      <c r="S4" s="1969"/>
    </row>
    <row r="5" spans="15:21">
      <c r="O5" s="1251"/>
      <c r="P5" s="1252"/>
      <c r="Q5" s="1252"/>
      <c r="R5" s="1251"/>
      <c r="S5" s="1253"/>
    </row>
    <row r="6" spans="15:21">
      <c r="O6" s="1963" t="s">
        <v>3106</v>
      </c>
      <c r="P6" s="1962" t="s">
        <v>821</v>
      </c>
      <c r="Q6" s="1962" t="s">
        <v>822</v>
      </c>
      <c r="R6" s="1970"/>
      <c r="S6" s="1962" t="s">
        <v>823</v>
      </c>
    </row>
    <row r="7" spans="15:21" ht="75">
      <c r="O7" s="1963"/>
      <c r="P7" s="1962"/>
      <c r="Q7" s="1254" t="s">
        <v>824</v>
      </c>
      <c r="R7" s="1254" t="s">
        <v>825</v>
      </c>
      <c r="S7" s="1962"/>
    </row>
    <row r="8" spans="15:21">
      <c r="O8" s="1963"/>
      <c r="P8" s="1962"/>
      <c r="Q8" s="1254" t="s">
        <v>826</v>
      </c>
      <c r="R8" s="1254" t="s">
        <v>827</v>
      </c>
      <c r="S8" s="1254" t="s">
        <v>827</v>
      </c>
    </row>
    <row r="9" spans="15:21">
      <c r="O9" s="1255" t="s">
        <v>2049</v>
      </c>
      <c r="P9" s="1255" t="s">
        <v>2051</v>
      </c>
      <c r="Q9" s="1255" t="s">
        <v>2053</v>
      </c>
      <c r="R9" s="1255" t="s">
        <v>2056</v>
      </c>
      <c r="S9" s="1255" t="s">
        <v>2059</v>
      </c>
    </row>
    <row r="10" spans="15:21">
      <c r="O10" s="1256" t="s">
        <v>828</v>
      </c>
      <c r="P10" s="1257"/>
      <c r="Q10" s="1257"/>
      <c r="R10" s="1257"/>
      <c r="S10" s="1257"/>
    </row>
    <row r="11" spans="15:21" ht="28.5" customHeight="1">
      <c r="O11" s="1256" t="s">
        <v>829</v>
      </c>
      <c r="P11" s="1258">
        <v>2017</v>
      </c>
      <c r="Q11" s="1259">
        <f>58467.1409619072/(4.315+59.52)/12*1000</f>
        <v>76325.867421095012</v>
      </c>
      <c r="R11" s="1259">
        <f>144.24*1.081</f>
        <v>155.92344</v>
      </c>
      <c r="S11" s="1259">
        <f>(58467.1409619072+21805.62*1.081)/(139653.654+10432.983)*1000</f>
        <v>546.61106292832176</v>
      </c>
    </row>
    <row r="12" spans="15:21" ht="18.75">
      <c r="O12" s="581"/>
    </row>
    <row r="13" spans="15:21" ht="34.5" customHeight="1">
      <c r="O13" s="1955" t="s">
        <v>830</v>
      </c>
      <c r="P13" s="1956"/>
      <c r="Q13" s="1956"/>
      <c r="R13" s="1956"/>
      <c r="S13" s="1956"/>
      <c r="T13" s="1956"/>
      <c r="U13" s="1957"/>
    </row>
    <row r="14" spans="15:21">
      <c r="O14" s="1966" t="s">
        <v>1459</v>
      </c>
      <c r="P14" s="1967"/>
      <c r="Q14" s="1967"/>
      <c r="R14" s="1967"/>
      <c r="S14" s="1967"/>
      <c r="T14" s="1967"/>
      <c r="U14" s="1968"/>
    </row>
    <row r="15" spans="15:21">
      <c r="O15" s="1971" t="s">
        <v>3106</v>
      </c>
      <c r="P15" s="1960" t="s">
        <v>821</v>
      </c>
      <c r="Q15" s="1960" t="s">
        <v>831</v>
      </c>
      <c r="R15" s="1960" t="s">
        <v>832</v>
      </c>
      <c r="S15" s="1960" t="s">
        <v>833</v>
      </c>
      <c r="T15" s="1958" t="s">
        <v>834</v>
      </c>
      <c r="U15" s="1959"/>
    </row>
    <row r="16" spans="15:21">
      <c r="O16" s="1972"/>
      <c r="P16" s="1965"/>
      <c r="Q16" s="1961"/>
      <c r="R16" s="1961"/>
      <c r="S16" s="1965"/>
      <c r="T16" s="1960" t="s">
        <v>835</v>
      </c>
      <c r="U16" s="1962" t="s">
        <v>836</v>
      </c>
    </row>
    <row r="17" spans="15:21">
      <c r="O17" s="1973"/>
      <c r="P17" s="1961"/>
      <c r="Q17" s="1254" t="s">
        <v>837</v>
      </c>
      <c r="R17" s="1254" t="s">
        <v>2896</v>
      </c>
      <c r="S17" s="1961"/>
      <c r="T17" s="1961"/>
      <c r="U17" s="1962"/>
    </row>
    <row r="18" spans="15:21">
      <c r="O18" s="1255" t="s">
        <v>2049</v>
      </c>
      <c r="P18" s="1255" t="s">
        <v>2051</v>
      </c>
      <c r="Q18" s="1255" t="s">
        <v>2053</v>
      </c>
      <c r="R18" s="1255" t="s">
        <v>2056</v>
      </c>
      <c r="S18" s="1255" t="s">
        <v>2059</v>
      </c>
      <c r="T18" s="1255" t="s">
        <v>2061</v>
      </c>
      <c r="U18" s="1255" t="s">
        <v>3726</v>
      </c>
    </row>
    <row r="19" spans="15:21">
      <c r="O19" s="1256" t="s">
        <v>828</v>
      </c>
      <c r="P19" s="1257"/>
      <c r="Q19" s="1257"/>
      <c r="R19" s="1257"/>
      <c r="S19" s="1257"/>
      <c r="T19" s="1257"/>
      <c r="U19" s="1257"/>
    </row>
    <row r="20" spans="15:21" ht="22.5">
      <c r="O20" s="1256" t="s">
        <v>829</v>
      </c>
      <c r="P20" s="1258">
        <v>2017</v>
      </c>
      <c r="Q20" s="1259">
        <f>40017.0498482386/1000</f>
        <v>40.017049848238599</v>
      </c>
      <c r="R20" s="1259">
        <v>5.52</v>
      </c>
      <c r="S20" s="1260" t="s">
        <v>838</v>
      </c>
      <c r="T20" s="1260" t="s">
        <v>839</v>
      </c>
      <c r="U20" s="1260" t="s">
        <v>840</v>
      </c>
    </row>
    <row r="21" spans="15:21" ht="18.75">
      <c r="O21" s="581"/>
    </row>
    <row r="22" spans="15:21" ht="18.75">
      <c r="O22" s="581"/>
    </row>
    <row r="23" spans="15:21" ht="18.75">
      <c r="O23" s="581"/>
    </row>
    <row r="24" spans="15:21">
      <c r="O24" s="1964" t="s">
        <v>820</v>
      </c>
      <c r="P24" s="1964"/>
      <c r="Q24" s="1964"/>
      <c r="R24" s="1964"/>
      <c r="S24" s="1964"/>
    </row>
    <row r="25" spans="15:21">
      <c r="O25" s="1969" t="s">
        <v>1459</v>
      </c>
      <c r="P25" s="1969"/>
      <c r="Q25" s="1969"/>
      <c r="R25" s="1969"/>
      <c r="S25" s="1969"/>
    </row>
    <row r="26" spans="15:21">
      <c r="O26" s="1251"/>
      <c r="P26" s="1252"/>
      <c r="Q26" s="1252"/>
      <c r="R26" s="1251"/>
      <c r="S26" s="1253"/>
    </row>
    <row r="27" spans="15:21">
      <c r="O27" s="1963" t="s">
        <v>3106</v>
      </c>
      <c r="P27" s="1962" t="s">
        <v>821</v>
      </c>
      <c r="Q27" s="1962" t="s">
        <v>822</v>
      </c>
      <c r="R27" s="1970"/>
      <c r="S27" s="1962" t="s">
        <v>823</v>
      </c>
    </row>
    <row r="28" spans="15:21" ht="75">
      <c r="O28" s="1963"/>
      <c r="P28" s="1962"/>
      <c r="Q28" s="1254" t="s">
        <v>824</v>
      </c>
      <c r="R28" s="1254" t="s">
        <v>825</v>
      </c>
      <c r="S28" s="1962"/>
    </row>
    <row r="29" spans="15:21">
      <c r="O29" s="1963"/>
      <c r="P29" s="1962"/>
      <c r="Q29" s="1254" t="s">
        <v>826</v>
      </c>
      <c r="R29" s="1254" t="s">
        <v>827</v>
      </c>
      <c r="S29" s="1254" t="s">
        <v>827</v>
      </c>
    </row>
    <row r="30" spans="15:21">
      <c r="O30" s="1255" t="s">
        <v>2049</v>
      </c>
      <c r="P30" s="1255" t="s">
        <v>2051</v>
      </c>
      <c r="Q30" s="1255" t="s">
        <v>2053</v>
      </c>
      <c r="R30" s="1255" t="s">
        <v>2056</v>
      </c>
      <c r="S30" s="1255" t="s">
        <v>2059</v>
      </c>
    </row>
    <row r="31" spans="15:21">
      <c r="O31" s="1256" t="s">
        <v>828</v>
      </c>
      <c r="P31" s="1257"/>
      <c r="Q31" s="1257"/>
      <c r="R31" s="1257"/>
      <c r="S31" s="1257"/>
    </row>
    <row r="32" spans="15:21" ht="22.5">
      <c r="O32" s="1256" t="s">
        <v>829</v>
      </c>
      <c r="P32" s="1258">
        <v>2016</v>
      </c>
      <c r="Q32" s="1261">
        <v>87213.863992018465</v>
      </c>
      <c r="R32" s="1261">
        <v>154.78333621418938</v>
      </c>
      <c r="S32" s="1261">
        <v>648.76333087049898</v>
      </c>
    </row>
    <row r="33" spans="15:20" ht="18.75">
      <c r="O33" s="581"/>
    </row>
    <row r="34" spans="15:20" ht="21">
      <c r="O34" s="1221"/>
    </row>
    <row r="35" spans="15:20" ht="36" customHeight="1">
      <c r="O35" s="1964" t="s">
        <v>830</v>
      </c>
      <c r="P35" s="1964"/>
      <c r="Q35" s="1964"/>
      <c r="R35" s="1964"/>
      <c r="S35" s="1964"/>
      <c r="T35" s="1964"/>
    </row>
    <row r="36" spans="15:20">
      <c r="O36" s="1969" t="s">
        <v>1459</v>
      </c>
      <c r="P36" s="1969"/>
      <c r="Q36" s="1969"/>
      <c r="R36" s="1969"/>
      <c r="S36" s="1969"/>
      <c r="T36" s="1969"/>
    </row>
    <row r="37" spans="15:20">
      <c r="O37" s="1251"/>
      <c r="P37" s="1256"/>
      <c r="Q37" s="1256"/>
      <c r="R37" s="1262"/>
      <c r="S37" s="1262"/>
      <c r="T37" s="1262"/>
    </row>
    <row r="38" spans="15:20" ht="90">
      <c r="O38" s="1963" t="s">
        <v>3106</v>
      </c>
      <c r="P38" s="1962" t="s">
        <v>821</v>
      </c>
      <c r="Q38" s="1254" t="s">
        <v>831</v>
      </c>
      <c r="R38" s="1254" t="s">
        <v>832</v>
      </c>
      <c r="S38" s="1962" t="s">
        <v>833</v>
      </c>
      <c r="T38" s="1962" t="s">
        <v>836</v>
      </c>
    </row>
    <row r="39" spans="15:20">
      <c r="O39" s="1963"/>
      <c r="P39" s="1962"/>
      <c r="Q39" s="1254" t="s">
        <v>837</v>
      </c>
      <c r="R39" s="1254" t="s">
        <v>2896</v>
      </c>
      <c r="S39" s="1962"/>
      <c r="T39" s="1962"/>
    </row>
    <row r="40" spans="15:20">
      <c r="O40" s="1255" t="s">
        <v>2049</v>
      </c>
      <c r="P40" s="1255" t="s">
        <v>2051</v>
      </c>
      <c r="Q40" s="1255" t="s">
        <v>2053</v>
      </c>
      <c r="R40" s="1255" t="s">
        <v>2056</v>
      </c>
      <c r="S40" s="1255" t="s">
        <v>2059</v>
      </c>
      <c r="T40" s="1255" t="s">
        <v>2061</v>
      </c>
    </row>
    <row r="41" spans="15:20">
      <c r="O41" s="1256" t="s">
        <v>828</v>
      </c>
      <c r="P41" s="1257"/>
      <c r="Q41" s="1257"/>
      <c r="R41" s="1257"/>
      <c r="S41" s="1257"/>
      <c r="T41" s="1257"/>
    </row>
    <row r="42" spans="15:20" ht="22.5">
      <c r="O42" s="1256" t="s">
        <v>829</v>
      </c>
      <c r="P42" s="1258">
        <v>2016</v>
      </c>
      <c r="Q42" s="1261">
        <v>51.836434948449721</v>
      </c>
      <c r="R42" s="1261">
        <v>5.6878865097657174</v>
      </c>
      <c r="S42" s="1263" t="s">
        <v>841</v>
      </c>
      <c r="T42" s="1263" t="s">
        <v>842</v>
      </c>
    </row>
    <row r="43" spans="15:20" ht="21">
      <c r="O43" s="1221"/>
    </row>
    <row r="44" spans="15:20" ht="21">
      <c r="O44" s="1221"/>
    </row>
    <row r="45" spans="15:20" ht="21.75" thickBot="1">
      <c r="O45" s="1221"/>
    </row>
    <row r="46" spans="15:20" ht="15.75" thickBot="1">
      <c r="O46" s="1983" t="s">
        <v>828</v>
      </c>
      <c r="P46" s="1980" t="s">
        <v>843</v>
      </c>
      <c r="Q46" s="1867" t="s">
        <v>844</v>
      </c>
      <c r="R46" s="1978"/>
      <c r="S46" s="1979"/>
    </row>
    <row r="47" spans="15:20" ht="31.5">
      <c r="O47" s="1984"/>
      <c r="P47" s="1981"/>
      <c r="Q47" s="1976" t="s">
        <v>845</v>
      </c>
      <c r="R47" s="1977"/>
      <c r="S47" s="1264" t="s">
        <v>846</v>
      </c>
    </row>
    <row r="48" spans="15:20" ht="16.5" thickBot="1">
      <c r="O48" s="1984"/>
      <c r="P48" s="1981"/>
      <c r="Q48" s="1974" t="s">
        <v>847</v>
      </c>
      <c r="R48" s="1975"/>
      <c r="S48" s="1265" t="s">
        <v>847</v>
      </c>
    </row>
    <row r="49" spans="15:22" ht="95.25" thickBot="1">
      <c r="O49" s="1984"/>
      <c r="P49" s="1981"/>
      <c r="Q49" s="1266" t="s">
        <v>848</v>
      </c>
      <c r="R49" s="1266" t="s">
        <v>825</v>
      </c>
      <c r="S49" s="1267"/>
    </row>
    <row r="50" spans="15:22" ht="16.5" thickBot="1">
      <c r="O50" s="1985"/>
      <c r="P50" s="1982"/>
      <c r="Q50" s="1266" t="s">
        <v>826</v>
      </c>
      <c r="R50" s="1266" t="s">
        <v>827</v>
      </c>
      <c r="S50" s="1268" t="s">
        <v>827</v>
      </c>
    </row>
    <row r="51" spans="15:22" ht="27" thickBot="1">
      <c r="O51" s="1269" t="s">
        <v>829</v>
      </c>
      <c r="P51" s="1270">
        <v>2015</v>
      </c>
      <c r="Q51" s="1271">
        <v>98044.950889366693</v>
      </c>
      <c r="R51" s="1271">
        <v>132.99534309063225</v>
      </c>
      <c r="S51" s="1272">
        <v>781.49720602124057</v>
      </c>
    </row>
    <row r="52" spans="15:22" ht="27" thickBot="1">
      <c r="O52" s="1269" t="s">
        <v>829</v>
      </c>
      <c r="P52" s="1270">
        <v>2016</v>
      </c>
      <c r="Q52" s="1271">
        <v>95830.421716184501</v>
      </c>
      <c r="R52" s="1271">
        <v>139.64511024516386</v>
      </c>
      <c r="S52" s="1272">
        <v>773.49934184651249</v>
      </c>
    </row>
    <row r="53" spans="15:22" ht="27" thickBot="1">
      <c r="O53" s="1269" t="s">
        <v>829</v>
      </c>
      <c r="P53" s="1270">
        <v>2017</v>
      </c>
      <c r="Q53" s="1271">
        <v>89494.834424680739</v>
      </c>
      <c r="R53" s="1271">
        <v>146.62736575742204</v>
      </c>
      <c r="S53" s="1272">
        <v>738.57591915678086</v>
      </c>
    </row>
    <row r="54" spans="15:22" ht="27" thickBot="1">
      <c r="O54" s="1269" t="s">
        <v>829</v>
      </c>
      <c r="P54" s="1270">
        <v>2018</v>
      </c>
      <c r="Q54" s="1271">
        <v>93766.360030622876</v>
      </c>
      <c r="R54" s="1271">
        <v>153.95873404529314</v>
      </c>
      <c r="S54" s="1272">
        <v>774.16057624618372</v>
      </c>
    </row>
    <row r="55" spans="15:22" ht="27" thickBot="1">
      <c r="O55" s="1269" t="s">
        <v>829</v>
      </c>
      <c r="P55" s="1270">
        <v>2019</v>
      </c>
      <c r="Q55" s="1271">
        <v>100384.21129788896</v>
      </c>
      <c r="R55" s="1271">
        <v>161.65667074755783</v>
      </c>
      <c r="S55" s="1272">
        <v>825.63117881741778</v>
      </c>
    </row>
    <row r="56" spans="15:22" ht="15.75">
      <c r="O56" s="1273"/>
      <c r="P56" s="1274"/>
      <c r="Q56" s="1275"/>
      <c r="R56" s="1275"/>
      <c r="S56" s="1275"/>
      <c r="T56" s="1275"/>
      <c r="U56" s="1275"/>
      <c r="V56" s="1275"/>
    </row>
    <row r="57" spans="15:22" ht="39.75" customHeight="1">
      <c r="O57" s="1964" t="s">
        <v>830</v>
      </c>
      <c r="P57" s="1964"/>
      <c r="Q57" s="1964"/>
      <c r="R57" s="1964"/>
      <c r="S57" s="1964"/>
      <c r="T57" s="1964"/>
      <c r="U57" s="1275"/>
      <c r="V57" s="1275"/>
    </row>
    <row r="58" spans="15:22">
      <c r="O58" s="1969" t="s">
        <v>1459</v>
      </c>
      <c r="P58" s="1969"/>
      <c r="Q58" s="1969"/>
      <c r="R58" s="1969"/>
      <c r="S58" s="1969"/>
      <c r="T58" s="1969"/>
    </row>
    <row r="59" spans="15:22">
      <c r="O59" s="1251"/>
      <c r="P59" s="1256"/>
      <c r="Q59" s="1256"/>
      <c r="R59" s="1262"/>
      <c r="S59" s="1262"/>
      <c r="T59" s="1262"/>
    </row>
    <row r="60" spans="15:22" ht="90">
      <c r="O60" s="1963" t="s">
        <v>3106</v>
      </c>
      <c r="P60" s="1962" t="s">
        <v>821</v>
      </c>
      <c r="Q60" s="1254" t="s">
        <v>831</v>
      </c>
      <c r="R60" s="1254" t="s">
        <v>832</v>
      </c>
      <c r="S60" s="1962" t="s">
        <v>833</v>
      </c>
      <c r="T60" s="1962" t="s">
        <v>836</v>
      </c>
    </row>
    <row r="61" spans="15:22">
      <c r="O61" s="1963"/>
      <c r="P61" s="1962"/>
      <c r="Q61" s="1254" t="s">
        <v>837</v>
      </c>
      <c r="R61" s="1254" t="s">
        <v>2896</v>
      </c>
      <c r="S61" s="1962"/>
      <c r="T61" s="1962"/>
    </row>
    <row r="62" spans="15:22">
      <c r="O62" s="1255" t="s">
        <v>2049</v>
      </c>
      <c r="P62" s="1255" t="s">
        <v>2051</v>
      </c>
      <c r="Q62" s="1255" t="s">
        <v>2053</v>
      </c>
      <c r="R62" s="1255" t="s">
        <v>2056</v>
      </c>
      <c r="S62" s="1255" t="s">
        <v>2059</v>
      </c>
      <c r="T62" s="1255" t="s">
        <v>2061</v>
      </c>
    </row>
    <row r="63" spans="15:22">
      <c r="O63" s="1256" t="s">
        <v>828</v>
      </c>
      <c r="P63" s="1257"/>
      <c r="Q63" s="1257"/>
      <c r="R63" s="1257"/>
      <c r="S63" s="1257"/>
      <c r="T63" s="1257"/>
    </row>
    <row r="64" spans="15:22" ht="22.5">
      <c r="O64" s="1276" t="s">
        <v>829</v>
      </c>
      <c r="P64" s="1277">
        <v>2017</v>
      </c>
      <c r="Q64" s="1278">
        <v>50.266444491639355</v>
      </c>
      <c r="R64" s="1278">
        <v>5.6878865097657174</v>
      </c>
      <c r="S64" s="1279" t="s">
        <v>838</v>
      </c>
      <c r="T64" s="1279" t="s">
        <v>840</v>
      </c>
    </row>
    <row r="65" spans="15:20" ht="22.5">
      <c r="O65" s="1276" t="s">
        <v>829</v>
      </c>
      <c r="P65" s="1277">
        <v>2018</v>
      </c>
      <c r="Q65" s="1278">
        <v>52.779766716221324</v>
      </c>
      <c r="R65" s="1278">
        <v>5.6878865097657174</v>
      </c>
      <c r="S65" s="1279" t="s">
        <v>849</v>
      </c>
      <c r="T65" s="1279" t="s">
        <v>850</v>
      </c>
    </row>
    <row r="66" spans="15:20" ht="22.5">
      <c r="O66" s="1276" t="s">
        <v>829</v>
      </c>
      <c r="P66" s="1277">
        <v>2019</v>
      </c>
      <c r="Q66" s="1278">
        <v>55.418755052032395</v>
      </c>
      <c r="R66" s="1278">
        <v>5.6878865097657174</v>
      </c>
      <c r="S66" s="1279" t="s">
        <v>851</v>
      </c>
      <c r="T66" s="1279" t="s">
        <v>852</v>
      </c>
    </row>
  </sheetData>
  <mergeCells count="39">
    <mergeCell ref="O57:T57"/>
    <mergeCell ref="Q48:R48"/>
    <mergeCell ref="O36:T36"/>
    <mergeCell ref="O35:T35"/>
    <mergeCell ref="Q47:R47"/>
    <mergeCell ref="S38:S39"/>
    <mergeCell ref="Q46:S46"/>
    <mergeCell ref="P46:P50"/>
    <mergeCell ref="P38:P39"/>
    <mergeCell ref="O46:O50"/>
    <mergeCell ref="O58:T58"/>
    <mergeCell ref="T60:T61"/>
    <mergeCell ref="S60:S61"/>
    <mergeCell ref="O60:O61"/>
    <mergeCell ref="P60:P61"/>
    <mergeCell ref="O3:S3"/>
    <mergeCell ref="O4:S4"/>
    <mergeCell ref="O6:O8"/>
    <mergeCell ref="P6:P8"/>
    <mergeCell ref="Q6:R6"/>
    <mergeCell ref="S6:S7"/>
    <mergeCell ref="T38:T39"/>
    <mergeCell ref="S15:S17"/>
    <mergeCell ref="O25:S25"/>
    <mergeCell ref="Q27:R27"/>
    <mergeCell ref="O38:O39"/>
    <mergeCell ref="O15:O17"/>
    <mergeCell ref="O13:U13"/>
    <mergeCell ref="T15:U15"/>
    <mergeCell ref="T16:T17"/>
    <mergeCell ref="S27:S28"/>
    <mergeCell ref="O27:O29"/>
    <mergeCell ref="O24:S24"/>
    <mergeCell ref="P15:P17"/>
    <mergeCell ref="O14:U14"/>
    <mergeCell ref="U16:U17"/>
    <mergeCell ref="P27:P29"/>
    <mergeCell ref="Q15:Q16"/>
    <mergeCell ref="R15:R16"/>
  </mergeCells>
  <phoneticPr fontId="0" type="noConversion"/>
  <dataValidations count="2">
    <dataValidation type="textLength" operator="lessThanOrEqual" allowBlank="1" showInputMessage="1" showErrorMessage="1" errorTitle="Ошибка" error="Допускается ввод не более 900 символов!" sqref="S64:T66">
      <formula1>900</formula1>
    </dataValidation>
    <dataValidation type="decimal" allowBlank="1" showErrorMessage="1" errorTitle="Ошибка" error="Допускается ввод только неотрицательных чисел!" sqref="Q64:R66">
      <formula1>0</formula1>
      <formula2>9.99999999999999E+23</formula2>
    </dataValidation>
  </dataValidations>
  <hyperlinks>
    <hyperlink ref="O1" location="Главная!A1" display="Переход на главную страницу"/>
  </hyperlinks>
  <pageMargins left="0.7" right="0.7" top="0.75" bottom="0.75" header="0.3" footer="0.3"/>
  <pageSetup paperSize="9" scale="28"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indexed="22"/>
    <pageSetUpPr fitToPage="1"/>
  </sheetPr>
  <dimension ref="A1:IT434"/>
  <sheetViews>
    <sheetView showGridLines="0" topLeftCell="A413" zoomScale="60" zoomScaleNormal="60" workbookViewId="0">
      <selection activeCell="Q434" sqref="Q434"/>
    </sheetView>
  </sheetViews>
  <sheetFormatPr defaultRowHeight="15"/>
  <cols>
    <col min="1" max="1" width="35" style="84" customWidth="1"/>
    <col min="2" max="2" width="20.5703125" style="84" customWidth="1"/>
    <col min="3" max="3" width="14.5703125" style="84" customWidth="1"/>
    <col min="4" max="16" width="14.7109375" style="84" customWidth="1"/>
    <col min="17" max="17" width="18.85546875" style="84" customWidth="1"/>
    <col min="18" max="18" width="23.42578125" style="84" customWidth="1"/>
    <col min="19" max="19" width="17.7109375" style="84" customWidth="1"/>
    <col min="20" max="16384" width="9.140625" style="84"/>
  </cols>
  <sheetData>
    <row r="1" spans="1:19" ht="20.100000000000001" customHeight="1">
      <c r="A1" s="79" t="s">
        <v>724</v>
      </c>
      <c r="P1" s="85"/>
      <c r="Q1" s="86" t="s">
        <v>1457</v>
      </c>
      <c r="R1" s="85"/>
      <c r="S1" s="87"/>
    </row>
    <row r="2" spans="1:19" s="88" customFormat="1" ht="27" customHeight="1">
      <c r="A2" s="1562" t="s">
        <v>1458</v>
      </c>
      <c r="B2" s="1562"/>
      <c r="C2" s="1562"/>
      <c r="D2" s="1562"/>
      <c r="E2" s="1562"/>
      <c r="F2" s="1562"/>
      <c r="G2" s="1562"/>
      <c r="H2" s="1562"/>
      <c r="I2" s="1562"/>
      <c r="J2" s="1562"/>
      <c r="K2" s="1562"/>
      <c r="L2" s="1562"/>
      <c r="M2" s="1562"/>
      <c r="N2" s="1562"/>
      <c r="O2" s="1562"/>
      <c r="P2" s="1562"/>
      <c r="Q2" s="1562"/>
      <c r="R2" s="1562"/>
      <c r="S2" s="1562"/>
    </row>
    <row r="3" spans="1:19" s="89" customFormat="1" ht="26.25">
      <c r="A3" s="1563" t="s">
        <v>1459</v>
      </c>
      <c r="B3" s="1563"/>
      <c r="C3" s="1563"/>
      <c r="D3" s="1563"/>
      <c r="E3" s="1563"/>
      <c r="F3" s="1563"/>
      <c r="G3" s="1563"/>
      <c r="H3" s="1563"/>
      <c r="I3" s="1563"/>
      <c r="J3" s="1563"/>
      <c r="K3" s="1563"/>
      <c r="L3" s="1563"/>
      <c r="M3" s="1563"/>
      <c r="N3" s="1563"/>
      <c r="O3" s="1563"/>
      <c r="P3" s="1563"/>
      <c r="Q3" s="1563"/>
      <c r="R3" s="1563"/>
      <c r="S3" s="1563"/>
    </row>
    <row r="4" spans="1:19" s="89" customFormat="1" ht="27.75" customHeight="1">
      <c r="A4" s="1564" t="s">
        <v>1460</v>
      </c>
      <c r="B4" s="1564"/>
      <c r="C4" s="1564"/>
      <c r="D4" s="1564"/>
      <c r="E4" s="1564"/>
      <c r="F4" s="1564"/>
      <c r="G4" s="1564"/>
      <c r="H4" s="1564"/>
      <c r="I4" s="1564"/>
      <c r="J4" s="1564"/>
      <c r="K4" s="1564"/>
      <c r="L4" s="1564"/>
      <c r="M4" s="1564"/>
      <c r="N4" s="1564"/>
      <c r="O4" s="1564"/>
      <c r="P4" s="1564"/>
      <c r="Q4" s="86"/>
      <c r="R4" s="86"/>
      <c r="S4" s="86"/>
    </row>
    <row r="5" spans="1:19" s="89" customFormat="1" ht="24.95" customHeight="1">
      <c r="A5" s="1565" t="s">
        <v>1461</v>
      </c>
      <c r="B5" s="1565"/>
      <c r="C5" s="1565"/>
      <c r="D5" s="1565"/>
      <c r="E5" s="90"/>
      <c r="F5" s="90"/>
      <c r="G5" s="90"/>
      <c r="H5" s="90"/>
      <c r="I5" s="90"/>
      <c r="J5" s="90"/>
      <c r="K5" s="90"/>
      <c r="L5" s="90"/>
      <c r="M5" s="90"/>
      <c r="N5" s="90"/>
      <c r="O5" s="90"/>
      <c r="P5" s="90"/>
      <c r="R5" s="86"/>
      <c r="S5" s="86"/>
    </row>
    <row r="6" spans="1:19" ht="46.5" customHeight="1">
      <c r="A6" s="1569" t="s">
        <v>1462</v>
      </c>
      <c r="B6" s="1569"/>
      <c r="C6" s="1566" t="s">
        <v>1463</v>
      </c>
      <c r="D6" s="1566" t="s">
        <v>1464</v>
      </c>
      <c r="E6" s="1569" t="s">
        <v>1465</v>
      </c>
      <c r="F6" s="1569"/>
      <c r="G6" s="1569"/>
      <c r="H6" s="1569"/>
      <c r="I6" s="1569"/>
      <c r="J6" s="1569"/>
      <c r="K6" s="1569"/>
      <c r="L6" s="1569"/>
      <c r="M6" s="1569"/>
      <c r="N6" s="1569"/>
      <c r="O6" s="1569"/>
      <c r="P6" s="1569"/>
      <c r="Q6" s="1566" t="s">
        <v>1466</v>
      </c>
      <c r="R6" s="1568"/>
      <c r="S6" s="1568"/>
    </row>
    <row r="7" spans="1:19" ht="60" customHeight="1">
      <c r="A7" s="1569"/>
      <c r="B7" s="1569"/>
      <c r="C7" s="1566"/>
      <c r="D7" s="1574"/>
      <c r="E7" s="1569" t="s">
        <v>1467</v>
      </c>
      <c r="F7" s="1569"/>
      <c r="G7" s="1569"/>
      <c r="H7" s="1569" t="s">
        <v>1468</v>
      </c>
      <c r="I7" s="1569"/>
      <c r="J7" s="1569"/>
      <c r="K7" s="1569" t="s">
        <v>1469</v>
      </c>
      <c r="L7" s="1569"/>
      <c r="M7" s="1569"/>
      <c r="N7" s="1569" t="s">
        <v>1470</v>
      </c>
      <c r="O7" s="1569"/>
      <c r="P7" s="1569"/>
      <c r="Q7" s="1566"/>
      <c r="R7" s="1568"/>
      <c r="S7" s="1568"/>
    </row>
    <row r="8" spans="1:19" ht="31.5" customHeight="1">
      <c r="A8" s="1569"/>
      <c r="B8" s="1569"/>
      <c r="C8" s="1566"/>
      <c r="D8" s="1574"/>
      <c r="E8" s="91" t="s">
        <v>1471</v>
      </c>
      <c r="F8" s="91" t="s">
        <v>1472</v>
      </c>
      <c r="G8" s="91" t="s">
        <v>1473</v>
      </c>
      <c r="H8" s="91" t="s">
        <v>1474</v>
      </c>
      <c r="I8" s="91" t="s">
        <v>1475</v>
      </c>
      <c r="J8" s="91" t="s">
        <v>1476</v>
      </c>
      <c r="K8" s="91" t="s">
        <v>1477</v>
      </c>
      <c r="L8" s="91" t="s">
        <v>1478</v>
      </c>
      <c r="M8" s="91" t="s">
        <v>1479</v>
      </c>
      <c r="N8" s="91" t="s">
        <v>1480</v>
      </c>
      <c r="O8" s="91" t="s">
        <v>1481</v>
      </c>
      <c r="P8" s="91" t="s">
        <v>4522</v>
      </c>
      <c r="Q8" s="1566"/>
      <c r="R8" s="1568"/>
      <c r="S8" s="1568"/>
    </row>
    <row r="9" spans="1:19" ht="18" customHeight="1">
      <c r="A9" s="92">
        <v>1</v>
      </c>
      <c r="B9" s="92">
        <v>2</v>
      </c>
      <c r="C9" s="92">
        <v>3</v>
      </c>
      <c r="D9" s="92">
        <v>4</v>
      </c>
      <c r="E9" s="93">
        <v>5</v>
      </c>
      <c r="F9" s="93">
        <v>6</v>
      </c>
      <c r="G9" s="93">
        <v>7</v>
      </c>
      <c r="H9" s="93">
        <v>8</v>
      </c>
      <c r="I9" s="93">
        <v>9</v>
      </c>
      <c r="J9" s="93">
        <v>10</v>
      </c>
      <c r="K9" s="93">
        <v>11</v>
      </c>
      <c r="L9" s="93">
        <v>12</v>
      </c>
      <c r="M9" s="93">
        <v>13</v>
      </c>
      <c r="N9" s="93">
        <v>14</v>
      </c>
      <c r="O9" s="93">
        <v>15</v>
      </c>
      <c r="P9" s="93">
        <v>16</v>
      </c>
      <c r="Q9" s="93">
        <v>17</v>
      </c>
      <c r="R9" s="94"/>
      <c r="S9" s="95"/>
    </row>
    <row r="10" spans="1:19" ht="60" customHeight="1">
      <c r="A10" s="1570" t="s">
        <v>4836</v>
      </c>
      <c r="B10" s="1570"/>
      <c r="C10" s="1570"/>
      <c r="D10" s="1570"/>
      <c r="E10" s="96">
        <v>11413.17</v>
      </c>
      <c r="F10" s="96">
        <v>12186.42</v>
      </c>
      <c r="G10" s="96">
        <v>13618.16</v>
      </c>
      <c r="H10" s="96">
        <v>13633.75</v>
      </c>
      <c r="I10" s="96">
        <v>11213.77</v>
      </c>
      <c r="J10" s="96">
        <v>10980.44</v>
      </c>
      <c r="K10" s="96">
        <v>11229.8</v>
      </c>
      <c r="L10" s="96">
        <v>5310.4</v>
      </c>
      <c r="M10" s="96">
        <v>6803.3</v>
      </c>
      <c r="N10" s="96">
        <v>10697.51</v>
      </c>
      <c r="O10" s="96">
        <v>10610.4</v>
      </c>
      <c r="P10" s="96">
        <v>11831.8</v>
      </c>
      <c r="Q10" s="97">
        <v>129528.92</v>
      </c>
      <c r="R10" s="98"/>
      <c r="S10" s="95"/>
    </row>
    <row r="11" spans="1:19" ht="27" customHeight="1">
      <c r="A11" s="1571" t="s">
        <v>4837</v>
      </c>
      <c r="B11" s="1572"/>
      <c r="C11" s="1572"/>
      <c r="D11" s="1572"/>
      <c r="E11" s="1572"/>
      <c r="F11" s="1572"/>
      <c r="G11" s="1572"/>
      <c r="H11" s="1572"/>
      <c r="I11" s="1572"/>
      <c r="J11" s="1572"/>
      <c r="K11" s="1572"/>
      <c r="L11" s="1572"/>
      <c r="M11" s="1572"/>
      <c r="N11" s="1572"/>
      <c r="O11" s="1572"/>
      <c r="P11" s="1572"/>
      <c r="Q11" s="1573"/>
      <c r="R11" s="99"/>
      <c r="S11" s="99"/>
    </row>
    <row r="12" spans="1:19" ht="50.1" customHeight="1">
      <c r="A12" s="100" t="s">
        <v>4838</v>
      </c>
      <c r="B12" s="92" t="s">
        <v>4839</v>
      </c>
      <c r="C12" s="92" t="s">
        <v>4840</v>
      </c>
      <c r="D12" s="92" t="s">
        <v>4841</v>
      </c>
      <c r="E12" s="101">
        <v>37684.949999999997</v>
      </c>
      <c r="F12" s="101">
        <v>34031.75</v>
      </c>
      <c r="G12" s="101">
        <v>33899.1</v>
      </c>
      <c r="H12" s="101">
        <v>32800.699999999997</v>
      </c>
      <c r="I12" s="101">
        <v>31900.53</v>
      </c>
      <c r="J12" s="101">
        <v>32077.599999999999</v>
      </c>
      <c r="K12" s="101">
        <v>36014.300000000003</v>
      </c>
      <c r="L12" s="101">
        <v>33595.68</v>
      </c>
      <c r="M12" s="101">
        <v>18820.349999999999</v>
      </c>
      <c r="N12" s="101">
        <v>29789.22</v>
      </c>
      <c r="O12" s="101">
        <v>28390.2</v>
      </c>
      <c r="P12" s="101">
        <v>34435.230000000003</v>
      </c>
      <c r="Q12" s="97">
        <v>383439.61</v>
      </c>
      <c r="R12" s="102"/>
      <c r="S12" s="103"/>
    </row>
    <row r="13" spans="1:19" ht="50.1" customHeight="1">
      <c r="A13" s="100" t="s">
        <v>4838</v>
      </c>
      <c r="B13" s="92" t="s">
        <v>4839</v>
      </c>
      <c r="C13" s="92" t="s">
        <v>4840</v>
      </c>
      <c r="D13" s="92" t="s">
        <v>4842</v>
      </c>
      <c r="E13" s="104">
        <v>14674.08</v>
      </c>
      <c r="F13" s="101">
        <v>11170.09</v>
      </c>
      <c r="G13" s="101">
        <v>9584.0499999999993</v>
      </c>
      <c r="H13" s="101">
        <v>10059.98</v>
      </c>
      <c r="I13" s="101">
        <v>12210.09</v>
      </c>
      <c r="J13" s="101">
        <v>11320.9</v>
      </c>
      <c r="K13" s="101">
        <v>13249.63</v>
      </c>
      <c r="L13" s="101">
        <v>16234.69</v>
      </c>
      <c r="M13" s="101">
        <v>3095.86</v>
      </c>
      <c r="N13" s="101">
        <v>8156.83</v>
      </c>
      <c r="O13" s="101">
        <v>7488.95</v>
      </c>
      <c r="P13" s="101">
        <v>10791.77</v>
      </c>
      <c r="Q13" s="97">
        <v>128036.92</v>
      </c>
      <c r="R13" s="105"/>
      <c r="S13" s="106"/>
    </row>
    <row r="14" spans="1:19" s="112" customFormat="1" ht="50.1" customHeight="1">
      <c r="A14" s="107" t="s">
        <v>4843</v>
      </c>
      <c r="B14" s="107" t="s">
        <v>4839</v>
      </c>
      <c r="C14" s="92" t="s">
        <v>4840</v>
      </c>
      <c r="D14" s="107" t="s">
        <v>4842</v>
      </c>
      <c r="E14" s="108">
        <v>5212.6899999999996</v>
      </c>
      <c r="F14" s="109">
        <v>4706.24</v>
      </c>
      <c r="G14" s="109">
        <v>4669.8999999999996</v>
      </c>
      <c r="H14" s="109">
        <v>4075.97</v>
      </c>
      <c r="I14" s="109">
        <v>3910.67</v>
      </c>
      <c r="J14" s="109">
        <v>4350.26</v>
      </c>
      <c r="K14" s="109">
        <v>5099.88</v>
      </c>
      <c r="L14" s="109">
        <v>5323.59</v>
      </c>
      <c r="M14" s="109">
        <v>3928.19</v>
      </c>
      <c r="N14" s="109">
        <v>4977.88</v>
      </c>
      <c r="O14" s="109">
        <v>4364.8500000000004</v>
      </c>
      <c r="P14" s="109">
        <v>5001.66</v>
      </c>
      <c r="Q14" s="97">
        <v>55621.78</v>
      </c>
      <c r="R14" s="110"/>
      <c r="S14" s="111"/>
    </row>
    <row r="15" spans="1:19" ht="50.1" customHeight="1">
      <c r="A15" s="92" t="s">
        <v>4844</v>
      </c>
      <c r="B15" s="92" t="s">
        <v>4839</v>
      </c>
      <c r="C15" s="92" t="s">
        <v>4840</v>
      </c>
      <c r="D15" s="92" t="s">
        <v>4842</v>
      </c>
      <c r="E15" s="104">
        <v>6385</v>
      </c>
      <c r="F15" s="101">
        <v>5969</v>
      </c>
      <c r="G15" s="101">
        <v>6027</v>
      </c>
      <c r="H15" s="101">
        <v>5031</v>
      </c>
      <c r="I15" s="101">
        <v>4566</v>
      </c>
      <c r="J15" s="101">
        <v>5426</v>
      </c>
      <c r="K15" s="101">
        <v>6435</v>
      </c>
      <c r="L15" s="101">
        <v>6727</v>
      </c>
      <c r="M15" s="101">
        <v>4993</v>
      </c>
      <c r="N15" s="101">
        <v>5957</v>
      </c>
      <c r="O15" s="101">
        <v>5926</v>
      </c>
      <c r="P15" s="101">
        <v>6810</v>
      </c>
      <c r="Q15" s="97">
        <v>70252</v>
      </c>
      <c r="R15" s="105"/>
      <c r="S15" s="106"/>
    </row>
    <row r="16" spans="1:19" ht="39.950000000000003" customHeight="1">
      <c r="A16" s="1577" t="s">
        <v>4845</v>
      </c>
      <c r="B16" s="1577"/>
      <c r="C16" s="1577"/>
      <c r="D16" s="1577"/>
      <c r="E16" s="1577"/>
      <c r="F16" s="1577"/>
      <c r="G16" s="1577"/>
      <c r="H16" s="1577"/>
      <c r="I16" s="1577"/>
      <c r="J16" s="1577"/>
      <c r="K16" s="1577"/>
      <c r="L16" s="1577"/>
      <c r="M16" s="1577"/>
      <c r="N16" s="1577"/>
      <c r="O16" s="1577"/>
      <c r="P16" s="1577"/>
      <c r="Q16" s="1577"/>
      <c r="R16" s="105"/>
      <c r="S16" s="106"/>
    </row>
    <row r="17" spans="1:139" ht="50.1" customHeight="1">
      <c r="A17" s="92" t="s">
        <v>4846</v>
      </c>
      <c r="B17" s="1567" t="s">
        <v>4839</v>
      </c>
      <c r="C17" s="1567"/>
      <c r="D17" s="1567"/>
      <c r="E17" s="101">
        <v>798.2</v>
      </c>
      <c r="F17" s="101">
        <v>903.2</v>
      </c>
      <c r="G17" s="101">
        <v>1516.1</v>
      </c>
      <c r="H17" s="101">
        <v>2529.6999999999998</v>
      </c>
      <c r="I17" s="101">
        <v>1888.2</v>
      </c>
      <c r="J17" s="101">
        <v>1551.9</v>
      </c>
      <c r="K17" s="101">
        <v>1657.1</v>
      </c>
      <c r="L17" s="101">
        <v>305.7</v>
      </c>
      <c r="M17" s="101">
        <v>1151.5999999999999</v>
      </c>
      <c r="N17" s="101">
        <v>1697.3</v>
      </c>
      <c r="O17" s="101">
        <v>1605.5</v>
      </c>
      <c r="P17" s="101">
        <v>1352</v>
      </c>
      <c r="Q17" s="97">
        <v>16956.5</v>
      </c>
      <c r="R17" s="105"/>
      <c r="S17" s="106"/>
    </row>
    <row r="18" spans="1:139" ht="50.1" customHeight="1">
      <c r="A18" s="92" t="s">
        <v>4847</v>
      </c>
      <c r="B18" s="1567" t="s">
        <v>4839</v>
      </c>
      <c r="C18" s="1567"/>
      <c r="D18" s="1567"/>
      <c r="E18" s="101">
        <v>809.8</v>
      </c>
      <c r="F18" s="101">
        <v>857.2</v>
      </c>
      <c r="G18" s="101">
        <v>826.7</v>
      </c>
      <c r="H18" s="101">
        <v>699.8</v>
      </c>
      <c r="I18" s="101">
        <v>659.2</v>
      </c>
      <c r="J18" s="101">
        <v>727.4</v>
      </c>
      <c r="K18" s="101">
        <v>693.1</v>
      </c>
      <c r="L18" s="101">
        <v>505.9</v>
      </c>
      <c r="M18" s="101">
        <v>483.2</v>
      </c>
      <c r="N18" s="101">
        <v>726.6</v>
      </c>
      <c r="O18" s="101">
        <v>629.20000000000005</v>
      </c>
      <c r="P18" s="101">
        <v>764.7</v>
      </c>
      <c r="Q18" s="97">
        <v>8382.7999999999993</v>
      </c>
      <c r="R18" s="105"/>
      <c r="S18" s="106"/>
    </row>
    <row r="19" spans="1:139" ht="50.1" customHeight="1">
      <c r="A19" s="92" t="s">
        <v>4848</v>
      </c>
      <c r="B19" s="1567" t="s">
        <v>4839</v>
      </c>
      <c r="C19" s="1567"/>
      <c r="D19" s="1567"/>
      <c r="E19" s="101">
        <v>181.37</v>
      </c>
      <c r="F19" s="101">
        <v>157.22</v>
      </c>
      <c r="G19" s="101">
        <v>163.46</v>
      </c>
      <c r="H19" s="101">
        <v>109.95</v>
      </c>
      <c r="I19" s="101">
        <v>95.57</v>
      </c>
      <c r="J19" s="101">
        <v>91.04</v>
      </c>
      <c r="K19" s="101">
        <v>89.6</v>
      </c>
      <c r="L19" s="101">
        <v>85.5</v>
      </c>
      <c r="M19" s="101">
        <v>83.1</v>
      </c>
      <c r="N19" s="101">
        <v>123.91</v>
      </c>
      <c r="O19" s="101">
        <v>130.19999999999999</v>
      </c>
      <c r="P19" s="101">
        <v>137.1</v>
      </c>
      <c r="Q19" s="97">
        <v>1448.02</v>
      </c>
      <c r="R19" s="105"/>
      <c r="S19" s="106"/>
    </row>
    <row r="20" spans="1:139" s="112" customFormat="1" ht="66.75" customHeight="1">
      <c r="A20" s="107" t="s">
        <v>4849</v>
      </c>
      <c r="B20" s="1576" t="s">
        <v>4839</v>
      </c>
      <c r="C20" s="1576"/>
      <c r="D20" s="1576"/>
      <c r="E20" s="109">
        <v>9623.7999999999993</v>
      </c>
      <c r="F20" s="109">
        <v>10268.799999999999</v>
      </c>
      <c r="G20" s="109">
        <v>11111.9</v>
      </c>
      <c r="H20" s="109">
        <v>10294.299999999999</v>
      </c>
      <c r="I20" s="109">
        <v>8570.7999999999993</v>
      </c>
      <c r="J20" s="109">
        <v>8610.1</v>
      </c>
      <c r="K20" s="109">
        <v>8790</v>
      </c>
      <c r="L20" s="109">
        <v>4413.3</v>
      </c>
      <c r="M20" s="109">
        <v>5085.3999999999996</v>
      </c>
      <c r="N20" s="109">
        <v>8149.7</v>
      </c>
      <c r="O20" s="109">
        <v>8245.5</v>
      </c>
      <c r="P20" s="109">
        <v>9578</v>
      </c>
      <c r="Q20" s="97">
        <v>102741.6</v>
      </c>
      <c r="R20" s="110"/>
      <c r="S20" s="111"/>
    </row>
    <row r="21" spans="1:139" ht="29.25" customHeight="1">
      <c r="A21" s="1564" t="s">
        <v>4850</v>
      </c>
      <c r="B21" s="1564"/>
      <c r="C21" s="1564"/>
      <c r="D21" s="1564"/>
      <c r="E21" s="1564"/>
      <c r="F21" s="1564"/>
      <c r="G21" s="1564"/>
      <c r="H21" s="1564"/>
      <c r="I21" s="1564"/>
      <c r="J21" s="1564"/>
      <c r="K21" s="1564"/>
      <c r="L21" s="1564"/>
      <c r="M21" s="1564"/>
      <c r="N21" s="1564"/>
      <c r="O21" s="1564"/>
      <c r="P21" s="1564"/>
      <c r="Q21" s="1564"/>
      <c r="R21" s="105"/>
      <c r="S21" s="106"/>
    </row>
    <row r="22" spans="1:139" ht="50.1" customHeight="1">
      <c r="A22" s="1569" t="s">
        <v>1462</v>
      </c>
      <c r="B22" s="1569"/>
      <c r="C22" s="1566" t="s">
        <v>1463</v>
      </c>
      <c r="D22" s="1566" t="s">
        <v>1464</v>
      </c>
      <c r="E22" s="1569" t="s">
        <v>4851</v>
      </c>
      <c r="F22" s="1569"/>
      <c r="G22" s="1569"/>
      <c r="H22" s="1569"/>
      <c r="I22" s="1569"/>
      <c r="J22" s="1569"/>
      <c r="K22" s="1569"/>
      <c r="L22" s="1569"/>
      <c r="M22" s="1569"/>
      <c r="N22" s="1569"/>
      <c r="O22" s="1569"/>
      <c r="P22" s="1569"/>
      <c r="Q22" s="1566" t="s">
        <v>1466</v>
      </c>
      <c r="R22" s="1566" t="s">
        <v>4852</v>
      </c>
      <c r="S22" s="1566" t="s">
        <v>4853</v>
      </c>
    </row>
    <row r="23" spans="1:139" ht="50.1" customHeight="1">
      <c r="A23" s="1569"/>
      <c r="B23" s="1569"/>
      <c r="C23" s="1566"/>
      <c r="D23" s="1574"/>
      <c r="E23" s="1569" t="s">
        <v>1467</v>
      </c>
      <c r="F23" s="1569"/>
      <c r="G23" s="1569"/>
      <c r="H23" s="1569" t="s">
        <v>1468</v>
      </c>
      <c r="I23" s="1569"/>
      <c r="J23" s="1569"/>
      <c r="K23" s="1569" t="s">
        <v>1469</v>
      </c>
      <c r="L23" s="1569"/>
      <c r="M23" s="1569"/>
      <c r="N23" s="1569" t="s">
        <v>1470</v>
      </c>
      <c r="O23" s="1569"/>
      <c r="P23" s="1569"/>
      <c r="Q23" s="1566"/>
      <c r="R23" s="1566"/>
      <c r="S23" s="1566"/>
    </row>
    <row r="24" spans="1:139" ht="50.1" customHeight="1">
      <c r="A24" s="1569"/>
      <c r="B24" s="1569"/>
      <c r="C24" s="1566"/>
      <c r="D24" s="1574"/>
      <c r="E24" s="91" t="s">
        <v>1471</v>
      </c>
      <c r="F24" s="91" t="s">
        <v>1472</v>
      </c>
      <c r="G24" s="91" t="s">
        <v>1473</v>
      </c>
      <c r="H24" s="91" t="s">
        <v>1474</v>
      </c>
      <c r="I24" s="91" t="s">
        <v>1475</v>
      </c>
      <c r="J24" s="91" t="s">
        <v>1476</v>
      </c>
      <c r="K24" s="91" t="s">
        <v>1477</v>
      </c>
      <c r="L24" s="91" t="s">
        <v>1478</v>
      </c>
      <c r="M24" s="91" t="s">
        <v>1479</v>
      </c>
      <c r="N24" s="91" t="s">
        <v>1480</v>
      </c>
      <c r="O24" s="91" t="s">
        <v>1481</v>
      </c>
      <c r="P24" s="91" t="s">
        <v>4522</v>
      </c>
      <c r="Q24" s="1566"/>
      <c r="R24" s="1566"/>
      <c r="S24" s="1566"/>
    </row>
    <row r="25" spans="1:139" ht="18" customHeight="1">
      <c r="A25" s="1566">
        <v>1</v>
      </c>
      <c r="B25" s="1566"/>
      <c r="C25" s="92">
        <v>2</v>
      </c>
      <c r="D25" s="92">
        <v>3</v>
      </c>
      <c r="E25" s="92">
        <v>4</v>
      </c>
      <c r="F25" s="92">
        <v>5</v>
      </c>
      <c r="G25" s="92">
        <v>6</v>
      </c>
      <c r="H25" s="92">
        <v>7</v>
      </c>
      <c r="I25" s="92">
        <v>8</v>
      </c>
      <c r="J25" s="92">
        <v>9</v>
      </c>
      <c r="K25" s="92">
        <v>10</v>
      </c>
      <c r="L25" s="92">
        <v>11</v>
      </c>
      <c r="M25" s="92">
        <v>12</v>
      </c>
      <c r="N25" s="92">
        <v>13</v>
      </c>
      <c r="O25" s="92">
        <v>14</v>
      </c>
      <c r="P25" s="92">
        <v>15</v>
      </c>
      <c r="Q25" s="92">
        <v>16</v>
      </c>
      <c r="R25" s="93">
        <v>18</v>
      </c>
      <c r="S25" s="113">
        <v>19</v>
      </c>
    </row>
    <row r="26" spans="1:139" ht="54.95" customHeight="1">
      <c r="A26" s="1575" t="s">
        <v>4854</v>
      </c>
      <c r="B26" s="1575"/>
      <c r="C26" s="1575"/>
      <c r="D26" s="1575"/>
      <c r="E26" s="114">
        <v>81.922999999999988</v>
      </c>
      <c r="F26" s="114">
        <v>75.812000000000012</v>
      </c>
      <c r="G26" s="114">
        <v>72.19</v>
      </c>
      <c r="H26" s="114">
        <v>73.075999999999993</v>
      </c>
      <c r="I26" s="114">
        <v>68.863</v>
      </c>
      <c r="J26" s="114">
        <v>70.631</v>
      </c>
      <c r="K26" s="114">
        <v>75.084000000000003</v>
      </c>
      <c r="L26" s="114">
        <v>54.832000000000001</v>
      </c>
      <c r="M26" s="114">
        <v>36.1479</v>
      </c>
      <c r="N26" s="114">
        <v>65.162999999999997</v>
      </c>
      <c r="O26" s="114">
        <v>65.568999999999988</v>
      </c>
      <c r="P26" s="114">
        <v>69.974000000000004</v>
      </c>
      <c r="Q26" s="115">
        <v>67.438999999999993</v>
      </c>
      <c r="R26" s="116">
        <v>93</v>
      </c>
      <c r="S26" s="116">
        <v>323</v>
      </c>
    </row>
    <row r="27" spans="1:139" s="117" customFormat="1" ht="29.25" customHeight="1">
      <c r="A27" s="117" t="s">
        <v>4837</v>
      </c>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row>
    <row r="28" spans="1:139" s="123" customFormat="1" ht="50.1" customHeight="1">
      <c r="A28" s="92" t="s">
        <v>4846</v>
      </c>
      <c r="B28" s="1567" t="s">
        <v>4855</v>
      </c>
      <c r="C28" s="1567"/>
      <c r="D28" s="1567"/>
      <c r="E28" s="119">
        <v>3.7130000000000001</v>
      </c>
      <c r="F28" s="119">
        <v>4.1100000000000003</v>
      </c>
      <c r="G28" s="119">
        <v>6.3860000000000001</v>
      </c>
      <c r="H28" s="119">
        <v>9.6669999999999998</v>
      </c>
      <c r="I28" s="119">
        <v>8.1560000000000006</v>
      </c>
      <c r="J28" s="119">
        <v>6.9829999999999997</v>
      </c>
      <c r="K28" s="119">
        <v>7.3380000000000001</v>
      </c>
      <c r="L28" s="119">
        <v>1.22</v>
      </c>
      <c r="M28" s="119">
        <v>4.8129999999999997</v>
      </c>
      <c r="N28" s="119">
        <v>7.2089999999999996</v>
      </c>
      <c r="O28" s="119">
        <v>6.9130000000000003</v>
      </c>
      <c r="P28" s="119">
        <v>5.7809999999999997</v>
      </c>
      <c r="Q28" s="116">
        <v>6.024</v>
      </c>
      <c r="R28" s="120"/>
      <c r="S28" s="121"/>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row>
    <row r="29" spans="1:139" s="123" customFormat="1" ht="50.1" customHeight="1">
      <c r="A29" s="92" t="s">
        <v>4847</v>
      </c>
      <c r="B29" s="1567" t="s">
        <v>4855</v>
      </c>
      <c r="C29" s="1567"/>
      <c r="D29" s="1567"/>
      <c r="E29" s="119">
        <v>1.4259999999999999</v>
      </c>
      <c r="F29" s="119">
        <v>1.492</v>
      </c>
      <c r="G29" s="119">
        <v>1.3380000000000001</v>
      </c>
      <c r="H29" s="119">
        <v>1.2</v>
      </c>
      <c r="I29" s="119">
        <v>1.1619999999999999</v>
      </c>
      <c r="J29" s="119">
        <v>1.24</v>
      </c>
      <c r="K29" s="119">
        <v>1.163</v>
      </c>
      <c r="L29" s="119">
        <v>0.83399999999999996</v>
      </c>
      <c r="M29" s="119">
        <v>0.79300000000000004</v>
      </c>
      <c r="N29" s="119">
        <v>1.3029999999999999</v>
      </c>
      <c r="O29" s="119">
        <v>1.2</v>
      </c>
      <c r="P29" s="119">
        <v>1.2509999999999999</v>
      </c>
      <c r="Q29" s="116">
        <v>1.2</v>
      </c>
      <c r="R29" s="120"/>
      <c r="S29" s="121"/>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row>
    <row r="30" spans="1:139" s="123" customFormat="1" ht="50.1" customHeight="1">
      <c r="A30" s="92" t="s">
        <v>4848</v>
      </c>
      <c r="B30" s="1567" t="s">
        <v>4855</v>
      </c>
      <c r="C30" s="1567"/>
      <c r="D30" s="1567"/>
      <c r="E30" s="119">
        <v>0.48699999999999999</v>
      </c>
      <c r="F30" s="119">
        <v>0.46700000000000003</v>
      </c>
      <c r="G30" s="119">
        <v>0.439</v>
      </c>
      <c r="H30" s="119">
        <v>0.30499999999999999</v>
      </c>
      <c r="I30" s="119">
        <v>0.25600000000000001</v>
      </c>
      <c r="J30" s="119">
        <v>0.252</v>
      </c>
      <c r="K30" s="119">
        <v>0.24</v>
      </c>
      <c r="L30" s="119">
        <v>0.22900000000000001</v>
      </c>
      <c r="M30" s="119">
        <v>0.23</v>
      </c>
      <c r="N30" s="119">
        <v>0.33300000000000002</v>
      </c>
      <c r="O30" s="119">
        <v>0.36099999999999999</v>
      </c>
      <c r="P30" s="119">
        <v>0.36799999999999999</v>
      </c>
      <c r="Q30" s="116">
        <v>0.33100000000000002</v>
      </c>
      <c r="R30" s="120"/>
      <c r="S30" s="121"/>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row>
    <row r="31" spans="1:139" s="123" customFormat="1" ht="50.1" customHeight="1">
      <c r="A31" s="92" t="s">
        <v>4849</v>
      </c>
      <c r="B31" s="1567" t="s">
        <v>4855</v>
      </c>
      <c r="C31" s="1567"/>
      <c r="D31" s="1567"/>
      <c r="E31" s="119">
        <v>37.137</v>
      </c>
      <c r="F31" s="119">
        <v>33.554000000000002</v>
      </c>
      <c r="G31" s="119">
        <v>32.966000000000001</v>
      </c>
      <c r="H31" s="119">
        <v>31.664999999999999</v>
      </c>
      <c r="I31" s="119">
        <v>28.352</v>
      </c>
      <c r="J31" s="119">
        <v>29.113</v>
      </c>
      <c r="K31" s="119">
        <v>29.085999999999999</v>
      </c>
      <c r="L31" s="119">
        <v>10.227</v>
      </c>
      <c r="M31" s="119">
        <v>9.6690000000000005</v>
      </c>
      <c r="N31" s="119">
        <v>26.498999999999999</v>
      </c>
      <c r="O31" s="119">
        <v>28.085000000000001</v>
      </c>
      <c r="P31" s="119">
        <v>28.02</v>
      </c>
      <c r="Q31" s="116">
        <v>27.030999999999999</v>
      </c>
      <c r="R31" s="120"/>
      <c r="S31" s="121"/>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row>
    <row r="32" spans="1:139" s="123" customFormat="1" ht="50.1" customHeight="1">
      <c r="A32" s="100" t="s">
        <v>4856</v>
      </c>
      <c r="B32" s="1567" t="s">
        <v>4855</v>
      </c>
      <c r="C32" s="1567"/>
      <c r="D32" s="1567"/>
      <c r="E32" s="119">
        <v>19.722999999999999</v>
      </c>
      <c r="F32" s="119">
        <v>16.622</v>
      </c>
      <c r="G32" s="119">
        <v>12.881</v>
      </c>
      <c r="H32" s="119">
        <v>13.972</v>
      </c>
      <c r="I32" s="119">
        <v>16.411000000000001</v>
      </c>
      <c r="J32" s="119">
        <v>15.723000000000001</v>
      </c>
      <c r="K32" s="119">
        <v>17.808</v>
      </c>
      <c r="L32" s="119">
        <v>21.82</v>
      </c>
      <c r="M32" s="119">
        <v>4.2990000000000004</v>
      </c>
      <c r="N32" s="119">
        <v>10.962999999999999</v>
      </c>
      <c r="O32" s="119">
        <v>10.401</v>
      </c>
      <c r="P32" s="119">
        <v>14.505000000000001</v>
      </c>
      <c r="Q32" s="116">
        <v>14.593999999999999</v>
      </c>
      <c r="R32" s="120"/>
      <c r="S32" s="121"/>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row>
    <row r="33" spans="1:139" s="123" customFormat="1" ht="50.1" customHeight="1">
      <c r="A33" s="107" t="s">
        <v>4857</v>
      </c>
      <c r="B33" s="1567" t="s">
        <v>4855</v>
      </c>
      <c r="C33" s="1567"/>
      <c r="D33" s="1567"/>
      <c r="E33" s="119">
        <v>7.0060000000000002</v>
      </c>
      <c r="F33" s="119">
        <v>7.0030000000000001</v>
      </c>
      <c r="G33" s="119">
        <v>6.2759999999999998</v>
      </c>
      <c r="H33" s="119">
        <v>5.6609999999999996</v>
      </c>
      <c r="I33" s="119">
        <v>5.2560000000000002</v>
      </c>
      <c r="J33" s="119">
        <v>6.0419999999999998</v>
      </c>
      <c r="K33" s="119">
        <v>6.8540000000000001</v>
      </c>
      <c r="L33" s="119">
        <v>7.1550000000000002</v>
      </c>
      <c r="M33" s="119">
        <v>5.4550000000000001</v>
      </c>
      <c r="N33" s="119">
        <v>6.69</v>
      </c>
      <c r="O33" s="119">
        <v>6.0620000000000003</v>
      </c>
      <c r="P33" s="119">
        <v>6.7220000000000004</v>
      </c>
      <c r="Q33" s="116">
        <v>6.3490000000000002</v>
      </c>
      <c r="R33" s="120"/>
      <c r="S33" s="121"/>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row>
    <row r="34" spans="1:139" s="123" customFormat="1" ht="50.1" customHeight="1">
      <c r="A34" s="92" t="s">
        <v>4858</v>
      </c>
      <c r="B34" s="1567" t="s">
        <v>4855</v>
      </c>
      <c r="C34" s="1567"/>
      <c r="D34" s="1567"/>
      <c r="E34" s="119">
        <v>12.430999999999999</v>
      </c>
      <c r="F34" s="119">
        <v>12.564</v>
      </c>
      <c r="G34" s="119">
        <v>11.904</v>
      </c>
      <c r="H34" s="119">
        <v>10.606</v>
      </c>
      <c r="I34" s="119">
        <v>9.27</v>
      </c>
      <c r="J34" s="119">
        <v>11.278</v>
      </c>
      <c r="K34" s="119">
        <v>12.595000000000001</v>
      </c>
      <c r="L34" s="119">
        <v>13.347</v>
      </c>
      <c r="M34" s="119">
        <v>10.8889</v>
      </c>
      <c r="N34" s="119">
        <v>12.166</v>
      </c>
      <c r="O34" s="119">
        <v>12.547000000000001</v>
      </c>
      <c r="P34" s="119">
        <v>13.327</v>
      </c>
      <c r="Q34" s="116">
        <v>11.91</v>
      </c>
      <c r="R34" s="120"/>
      <c r="S34" s="121"/>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row>
    <row r="35" spans="1:139" ht="30" customHeight="1">
      <c r="A35" s="1579" t="s">
        <v>4859</v>
      </c>
      <c r="B35" s="1579"/>
      <c r="C35" s="1579"/>
      <c r="D35" s="1579"/>
      <c r="E35" s="1579"/>
      <c r="F35" s="1579"/>
      <c r="G35" s="1579"/>
      <c r="H35" s="1579"/>
      <c r="I35" s="1579"/>
      <c r="J35" s="1579"/>
      <c r="K35" s="1579"/>
      <c r="L35" s="1579"/>
      <c r="M35" s="1579"/>
      <c r="N35" s="1579"/>
      <c r="O35" s="1579"/>
      <c r="P35" s="1579"/>
      <c r="Q35" s="124"/>
      <c r="R35" s="125"/>
      <c r="S35" s="106"/>
    </row>
    <row r="36" spans="1:139" ht="30.75" customHeight="1">
      <c r="A36" s="1565" t="s">
        <v>1461</v>
      </c>
      <c r="B36" s="1565"/>
      <c r="C36" s="1565"/>
      <c r="D36" s="1565"/>
      <c r="E36" s="126"/>
      <c r="F36" s="126"/>
      <c r="G36" s="126"/>
      <c r="H36" s="126"/>
      <c r="I36" s="126"/>
      <c r="J36" s="126"/>
      <c r="K36" s="126"/>
      <c r="L36" s="126"/>
      <c r="M36" s="126"/>
      <c r="N36" s="126"/>
      <c r="O36" s="126"/>
      <c r="P36" s="126"/>
      <c r="Q36" s="127"/>
      <c r="R36" s="125"/>
      <c r="S36" s="106"/>
    </row>
    <row r="37" spans="1:139" ht="60" customHeight="1">
      <c r="A37" s="1578" t="s">
        <v>1462</v>
      </c>
      <c r="B37" s="1578"/>
      <c r="C37" s="1580" t="s">
        <v>1463</v>
      </c>
      <c r="D37" s="1580" t="s">
        <v>1464</v>
      </c>
      <c r="E37" s="1578" t="s">
        <v>4860</v>
      </c>
      <c r="F37" s="1578"/>
      <c r="G37" s="1578"/>
      <c r="H37" s="1578"/>
      <c r="I37" s="1578"/>
      <c r="J37" s="1578"/>
      <c r="K37" s="1578"/>
      <c r="L37" s="1578"/>
      <c r="M37" s="1578"/>
      <c r="N37" s="1578"/>
      <c r="O37" s="1578"/>
      <c r="P37" s="1578"/>
      <c r="Q37" s="1580" t="s">
        <v>1466</v>
      </c>
      <c r="R37" s="1568"/>
      <c r="S37" s="1568"/>
    </row>
    <row r="38" spans="1:139" ht="60" customHeight="1">
      <c r="A38" s="1569"/>
      <c r="B38" s="1569"/>
      <c r="C38" s="1566"/>
      <c r="D38" s="1574"/>
      <c r="E38" s="1569" t="s">
        <v>1467</v>
      </c>
      <c r="F38" s="1569"/>
      <c r="G38" s="1569"/>
      <c r="H38" s="1569" t="s">
        <v>1468</v>
      </c>
      <c r="I38" s="1569"/>
      <c r="J38" s="1569"/>
      <c r="K38" s="1569" t="s">
        <v>1469</v>
      </c>
      <c r="L38" s="1569"/>
      <c r="M38" s="1569"/>
      <c r="N38" s="1569" t="s">
        <v>1470</v>
      </c>
      <c r="O38" s="1569"/>
      <c r="P38" s="1569"/>
      <c r="Q38" s="1566"/>
      <c r="R38" s="1568"/>
      <c r="S38" s="1568"/>
    </row>
    <row r="39" spans="1:139" ht="60" customHeight="1">
      <c r="A39" s="1569"/>
      <c r="B39" s="1569"/>
      <c r="C39" s="1566"/>
      <c r="D39" s="1574"/>
      <c r="E39" s="91" t="s">
        <v>1471</v>
      </c>
      <c r="F39" s="91" t="s">
        <v>1472</v>
      </c>
      <c r="G39" s="91" t="s">
        <v>1473</v>
      </c>
      <c r="H39" s="91" t="s">
        <v>1474</v>
      </c>
      <c r="I39" s="91" t="s">
        <v>1475</v>
      </c>
      <c r="J39" s="91" t="s">
        <v>1476</v>
      </c>
      <c r="K39" s="91" t="s">
        <v>1477</v>
      </c>
      <c r="L39" s="91" t="s">
        <v>1478</v>
      </c>
      <c r="M39" s="91" t="s">
        <v>1479</v>
      </c>
      <c r="N39" s="91" t="s">
        <v>1480</v>
      </c>
      <c r="O39" s="91" t="s">
        <v>1481</v>
      </c>
      <c r="P39" s="91" t="s">
        <v>4522</v>
      </c>
      <c r="Q39" s="1566"/>
      <c r="R39" s="1568"/>
      <c r="S39" s="1568"/>
    </row>
    <row r="40" spans="1:139" ht="18" customHeight="1">
      <c r="A40" s="92">
        <v>1</v>
      </c>
      <c r="B40" s="92">
        <v>2</v>
      </c>
      <c r="C40" s="92">
        <v>3</v>
      </c>
      <c r="D40" s="92">
        <v>4</v>
      </c>
      <c r="E40" s="93">
        <v>5</v>
      </c>
      <c r="F40" s="93">
        <v>6</v>
      </c>
      <c r="G40" s="93">
        <v>7</v>
      </c>
      <c r="H40" s="93">
        <v>8</v>
      </c>
      <c r="I40" s="93">
        <v>9</v>
      </c>
      <c r="J40" s="93">
        <v>10</v>
      </c>
      <c r="K40" s="93">
        <v>11</v>
      </c>
      <c r="L40" s="93">
        <v>12</v>
      </c>
      <c r="M40" s="93">
        <v>13</v>
      </c>
      <c r="N40" s="93">
        <v>14</v>
      </c>
      <c r="O40" s="93">
        <v>15</v>
      </c>
      <c r="P40" s="93">
        <v>16</v>
      </c>
      <c r="Q40" s="93">
        <v>17</v>
      </c>
      <c r="R40" s="94"/>
      <c r="S40" s="95"/>
    </row>
    <row r="41" spans="1:139" ht="60" customHeight="1">
      <c r="A41" s="1570" t="s">
        <v>4836</v>
      </c>
      <c r="B41" s="1570"/>
      <c r="C41" s="1570"/>
      <c r="D41" s="1570"/>
      <c r="E41" s="128">
        <v>754.46</v>
      </c>
      <c r="F41" s="128">
        <v>784.02</v>
      </c>
      <c r="G41" s="128">
        <v>856.39</v>
      </c>
      <c r="H41" s="128">
        <v>778.54</v>
      </c>
      <c r="I41" s="128">
        <v>753.8</v>
      </c>
      <c r="J41" s="128">
        <v>638.15</v>
      </c>
      <c r="K41" s="128">
        <v>632.30999999999995</v>
      </c>
      <c r="L41" s="128">
        <v>643.62</v>
      </c>
      <c r="M41" s="128">
        <v>544.79</v>
      </c>
      <c r="N41" s="128">
        <v>671.24</v>
      </c>
      <c r="O41" s="128">
        <v>687.2</v>
      </c>
      <c r="P41" s="128">
        <v>716.8</v>
      </c>
      <c r="Q41" s="129">
        <v>8461.32</v>
      </c>
      <c r="R41" s="98"/>
      <c r="S41" s="95"/>
    </row>
    <row r="42" spans="1:139" ht="27" customHeight="1">
      <c r="A42" s="1581"/>
      <c r="B42" s="1581"/>
      <c r="C42" s="1581"/>
      <c r="D42" s="1581"/>
      <c r="E42" s="1581"/>
      <c r="F42" s="1581"/>
      <c r="G42" s="1581"/>
      <c r="H42" s="1581"/>
      <c r="I42" s="1581"/>
      <c r="J42" s="1581"/>
      <c r="K42" s="1581"/>
      <c r="L42" s="1581"/>
      <c r="M42" s="1581"/>
      <c r="N42" s="1581"/>
      <c r="O42" s="1581"/>
      <c r="P42" s="1581"/>
      <c r="Q42" s="1581"/>
      <c r="R42" s="125"/>
      <c r="S42" s="106"/>
    </row>
    <row r="43" spans="1:139" ht="50.1" customHeight="1">
      <c r="A43" s="100" t="s">
        <v>4838</v>
      </c>
      <c r="B43" s="92" t="s">
        <v>4839</v>
      </c>
      <c r="C43" s="92" t="s">
        <v>4840</v>
      </c>
      <c r="D43" s="92" t="s">
        <v>4841</v>
      </c>
      <c r="E43" s="101">
        <v>2625.46</v>
      </c>
      <c r="F43" s="101">
        <v>2365.02</v>
      </c>
      <c r="G43" s="101">
        <v>2351.39</v>
      </c>
      <c r="H43" s="101">
        <v>2024.54</v>
      </c>
      <c r="I43" s="101">
        <v>1730.8</v>
      </c>
      <c r="J43" s="101">
        <v>1539.15</v>
      </c>
      <c r="K43" s="101">
        <v>1675.31</v>
      </c>
      <c r="L43" s="101">
        <v>1852.62</v>
      </c>
      <c r="M43" s="101">
        <v>1522.79</v>
      </c>
      <c r="N43" s="101">
        <v>2074.2399999999998</v>
      </c>
      <c r="O43" s="101">
        <v>2118.1999999999998</v>
      </c>
      <c r="P43" s="101">
        <v>2404.8000000000002</v>
      </c>
      <c r="Q43" s="97">
        <v>24284.32</v>
      </c>
      <c r="R43" s="125"/>
      <c r="S43" s="106"/>
    </row>
    <row r="44" spans="1:139" ht="50.1" customHeight="1">
      <c r="A44" s="92" t="s">
        <v>4844</v>
      </c>
      <c r="B44" s="92" t="s">
        <v>4839</v>
      </c>
      <c r="C44" s="92" t="s">
        <v>4840</v>
      </c>
      <c r="D44" s="92" t="s">
        <v>4842</v>
      </c>
      <c r="E44" s="101">
        <v>1871</v>
      </c>
      <c r="F44" s="101">
        <v>1581</v>
      </c>
      <c r="G44" s="101">
        <v>1495</v>
      </c>
      <c r="H44" s="101">
        <v>1246</v>
      </c>
      <c r="I44" s="101">
        <v>977</v>
      </c>
      <c r="J44" s="101">
        <v>901</v>
      </c>
      <c r="K44" s="101">
        <v>1043</v>
      </c>
      <c r="L44" s="101">
        <v>1209</v>
      </c>
      <c r="M44" s="101">
        <v>978</v>
      </c>
      <c r="N44" s="101">
        <v>1403</v>
      </c>
      <c r="O44" s="101">
        <v>1431</v>
      </c>
      <c r="P44" s="101">
        <v>1688</v>
      </c>
      <c r="Q44" s="97">
        <v>15823</v>
      </c>
      <c r="R44" s="125"/>
      <c r="S44" s="106"/>
    </row>
    <row r="45" spans="1:139" ht="39.950000000000003" customHeight="1">
      <c r="A45" s="1577" t="s">
        <v>4845</v>
      </c>
      <c r="B45" s="1577"/>
      <c r="C45" s="1577"/>
      <c r="D45" s="1577"/>
      <c r="E45" s="1577"/>
      <c r="F45" s="1577"/>
      <c r="G45" s="1577"/>
      <c r="H45" s="1577"/>
      <c r="I45" s="1577"/>
      <c r="J45" s="1577"/>
      <c r="K45" s="1577"/>
      <c r="L45" s="1577"/>
      <c r="M45" s="1577"/>
      <c r="N45" s="1577"/>
      <c r="O45" s="1577"/>
      <c r="P45" s="1577"/>
      <c r="Q45" s="1577"/>
      <c r="R45" s="125"/>
      <c r="S45" s="106"/>
    </row>
    <row r="46" spans="1:139" ht="50.1" customHeight="1">
      <c r="A46" s="92" t="s">
        <v>4846</v>
      </c>
      <c r="B46" s="1567" t="s">
        <v>4839</v>
      </c>
      <c r="C46" s="1567"/>
      <c r="D46" s="1567"/>
      <c r="E46" s="130">
        <v>0</v>
      </c>
      <c r="F46" s="130">
        <v>0</v>
      </c>
      <c r="G46" s="130">
        <v>0</v>
      </c>
      <c r="H46" s="130">
        <v>0</v>
      </c>
      <c r="I46" s="130">
        <v>0</v>
      </c>
      <c r="J46" s="130">
        <v>0</v>
      </c>
      <c r="K46" s="130">
        <v>0</v>
      </c>
      <c r="L46" s="130">
        <v>0</v>
      </c>
      <c r="M46" s="130">
        <v>0</v>
      </c>
      <c r="N46" s="130">
        <v>0</v>
      </c>
      <c r="O46" s="130">
        <v>0</v>
      </c>
      <c r="P46" s="130">
        <v>0</v>
      </c>
      <c r="Q46" s="97">
        <v>0</v>
      </c>
      <c r="R46" s="125"/>
      <c r="S46" s="106"/>
    </row>
    <row r="47" spans="1:139" ht="50.1" customHeight="1">
      <c r="A47" s="92" t="s">
        <v>4847</v>
      </c>
      <c r="B47" s="1567" t="s">
        <v>4839</v>
      </c>
      <c r="C47" s="1567"/>
      <c r="D47" s="1567"/>
      <c r="E47" s="128">
        <v>46</v>
      </c>
      <c r="F47" s="131">
        <v>43</v>
      </c>
      <c r="G47" s="131">
        <v>45</v>
      </c>
      <c r="H47" s="131">
        <v>40</v>
      </c>
      <c r="I47" s="131">
        <v>38</v>
      </c>
      <c r="J47" s="131">
        <v>37</v>
      </c>
      <c r="K47" s="131">
        <v>41</v>
      </c>
      <c r="L47" s="131">
        <v>41</v>
      </c>
      <c r="M47" s="131">
        <v>37</v>
      </c>
      <c r="N47" s="131">
        <v>40</v>
      </c>
      <c r="O47" s="131">
        <v>40</v>
      </c>
      <c r="P47" s="131">
        <v>46</v>
      </c>
      <c r="Q47" s="97">
        <v>494</v>
      </c>
      <c r="R47" s="125"/>
      <c r="S47" s="106"/>
    </row>
    <row r="48" spans="1:139" ht="50.1" customHeight="1">
      <c r="A48" s="92" t="s">
        <v>4848</v>
      </c>
      <c r="B48" s="1567" t="s">
        <v>4839</v>
      </c>
      <c r="C48" s="1567"/>
      <c r="D48" s="1567"/>
      <c r="E48" s="130">
        <v>708.46</v>
      </c>
      <c r="F48" s="132">
        <v>741.02</v>
      </c>
      <c r="G48" s="132">
        <v>811.39</v>
      </c>
      <c r="H48" s="132">
        <v>738.54</v>
      </c>
      <c r="I48" s="132">
        <v>715.8</v>
      </c>
      <c r="J48" s="132">
        <v>601.15</v>
      </c>
      <c r="K48" s="132">
        <v>591.30999999999995</v>
      </c>
      <c r="L48" s="132">
        <v>602.62</v>
      </c>
      <c r="M48" s="132">
        <v>507.79</v>
      </c>
      <c r="N48" s="132">
        <v>631.24</v>
      </c>
      <c r="O48" s="132">
        <v>647.20000000000005</v>
      </c>
      <c r="P48" s="132">
        <v>670.8</v>
      </c>
      <c r="Q48" s="97">
        <v>7967.32</v>
      </c>
      <c r="R48" s="125"/>
      <c r="S48" s="106"/>
    </row>
    <row r="49" spans="1:19" ht="36.75" customHeight="1">
      <c r="A49" s="1564" t="s">
        <v>4850</v>
      </c>
      <c r="B49" s="1564"/>
      <c r="C49" s="1564"/>
      <c r="D49" s="1564"/>
      <c r="E49" s="1564"/>
      <c r="F49" s="1564"/>
      <c r="G49" s="1564"/>
      <c r="H49" s="1564"/>
      <c r="I49" s="1564"/>
      <c r="J49" s="1564"/>
      <c r="K49" s="1564"/>
      <c r="L49" s="1564"/>
      <c r="M49" s="1564"/>
      <c r="N49" s="1564"/>
      <c r="O49" s="1564"/>
      <c r="P49" s="1564"/>
      <c r="Q49" s="1564"/>
      <c r="R49" s="125"/>
      <c r="S49" s="106"/>
    </row>
    <row r="50" spans="1:19" ht="50.1" customHeight="1">
      <c r="A50" s="1569" t="s">
        <v>1462</v>
      </c>
      <c r="B50" s="1569"/>
      <c r="C50" s="1566" t="s">
        <v>1463</v>
      </c>
      <c r="D50" s="1566" t="s">
        <v>1464</v>
      </c>
      <c r="E50" s="1569" t="s">
        <v>4851</v>
      </c>
      <c r="F50" s="1569"/>
      <c r="G50" s="1569"/>
      <c r="H50" s="1569"/>
      <c r="I50" s="1569"/>
      <c r="J50" s="1569"/>
      <c r="K50" s="1569"/>
      <c r="L50" s="1569"/>
      <c r="M50" s="1569"/>
      <c r="N50" s="1569"/>
      <c r="O50" s="1569"/>
      <c r="P50" s="1569"/>
      <c r="Q50" s="1566" t="s">
        <v>1466</v>
      </c>
      <c r="R50" s="1566" t="s">
        <v>4852</v>
      </c>
      <c r="S50" s="1566" t="s">
        <v>4853</v>
      </c>
    </row>
    <row r="51" spans="1:19" ht="50.1" customHeight="1">
      <c r="A51" s="1569"/>
      <c r="B51" s="1569"/>
      <c r="C51" s="1566"/>
      <c r="D51" s="1574"/>
      <c r="E51" s="1569" t="s">
        <v>1467</v>
      </c>
      <c r="F51" s="1569"/>
      <c r="G51" s="1569"/>
      <c r="H51" s="1569" t="s">
        <v>1468</v>
      </c>
      <c r="I51" s="1569"/>
      <c r="J51" s="1569"/>
      <c r="K51" s="1569" t="s">
        <v>1469</v>
      </c>
      <c r="L51" s="1569"/>
      <c r="M51" s="1569"/>
      <c r="N51" s="1569" t="s">
        <v>1470</v>
      </c>
      <c r="O51" s="1569"/>
      <c r="P51" s="1569"/>
      <c r="Q51" s="1566"/>
      <c r="R51" s="1566"/>
      <c r="S51" s="1566"/>
    </row>
    <row r="52" spans="1:19" ht="50.1" customHeight="1">
      <c r="A52" s="1569"/>
      <c r="B52" s="1569"/>
      <c r="C52" s="1566"/>
      <c r="D52" s="1574"/>
      <c r="E52" s="91" t="s">
        <v>1471</v>
      </c>
      <c r="F52" s="91" t="s">
        <v>1472</v>
      </c>
      <c r="G52" s="91" t="s">
        <v>1473</v>
      </c>
      <c r="H52" s="91" t="s">
        <v>1474</v>
      </c>
      <c r="I52" s="91" t="s">
        <v>1475</v>
      </c>
      <c r="J52" s="91" t="s">
        <v>1476</v>
      </c>
      <c r="K52" s="91" t="s">
        <v>1477</v>
      </c>
      <c r="L52" s="91" t="s">
        <v>1478</v>
      </c>
      <c r="M52" s="91" t="s">
        <v>1479</v>
      </c>
      <c r="N52" s="91" t="s">
        <v>1480</v>
      </c>
      <c r="O52" s="91" t="s">
        <v>1481</v>
      </c>
      <c r="P52" s="91" t="s">
        <v>4522</v>
      </c>
      <c r="Q52" s="1566"/>
      <c r="R52" s="1566"/>
      <c r="S52" s="1566"/>
    </row>
    <row r="53" spans="1:19" ht="24.75" customHeight="1">
      <c r="A53" s="1566">
        <v>1</v>
      </c>
      <c r="B53" s="1566"/>
      <c r="C53" s="92">
        <v>2</v>
      </c>
      <c r="D53" s="92">
        <v>3</v>
      </c>
      <c r="E53" s="92">
        <v>4</v>
      </c>
      <c r="F53" s="92">
        <v>5</v>
      </c>
      <c r="G53" s="92">
        <v>6</v>
      </c>
      <c r="H53" s="92">
        <v>7</v>
      </c>
      <c r="I53" s="92">
        <v>8</v>
      </c>
      <c r="J53" s="92">
        <v>9</v>
      </c>
      <c r="K53" s="92">
        <v>10</v>
      </c>
      <c r="L53" s="92">
        <v>11</v>
      </c>
      <c r="M53" s="92">
        <v>12</v>
      </c>
      <c r="N53" s="92">
        <v>13</v>
      </c>
      <c r="O53" s="92">
        <v>14</v>
      </c>
      <c r="P53" s="92">
        <v>15</v>
      </c>
      <c r="Q53" s="92">
        <v>16</v>
      </c>
      <c r="R53" s="93">
        <v>18</v>
      </c>
      <c r="S53" s="113">
        <v>19</v>
      </c>
    </row>
    <row r="54" spans="1:19" ht="50.1" customHeight="1">
      <c r="A54" s="1575" t="s">
        <v>4854</v>
      </c>
      <c r="B54" s="1575"/>
      <c r="C54" s="1575"/>
      <c r="D54" s="1575"/>
      <c r="E54" s="133">
        <v>5.6139999999999999</v>
      </c>
      <c r="F54" s="133">
        <v>5.6029999999999998</v>
      </c>
      <c r="G54" s="133">
        <v>5.2010000000000005</v>
      </c>
      <c r="H54" s="133">
        <v>4.74</v>
      </c>
      <c r="I54" s="133">
        <v>3.964</v>
      </c>
      <c r="J54" s="133">
        <v>3.6</v>
      </c>
      <c r="K54" s="133">
        <v>3.6920000000000002</v>
      </c>
      <c r="L54" s="133">
        <v>4.08</v>
      </c>
      <c r="M54" s="133">
        <v>3.601</v>
      </c>
      <c r="N54" s="133">
        <v>4.6219999999999999</v>
      </c>
      <c r="O54" s="133">
        <v>4.8879999999999999</v>
      </c>
      <c r="P54" s="133">
        <v>5.1749999999999998</v>
      </c>
      <c r="Q54" s="116">
        <v>4.5650000000000004</v>
      </c>
      <c r="R54" s="116">
        <v>13.6</v>
      </c>
      <c r="S54" s="116">
        <v>32</v>
      </c>
    </row>
    <row r="55" spans="1:19" s="134" customFormat="1" ht="29.25" customHeight="1">
      <c r="A55" s="1571" t="s">
        <v>4837</v>
      </c>
      <c r="B55" s="1572"/>
      <c r="C55" s="1572"/>
      <c r="D55" s="1572"/>
      <c r="E55" s="1572"/>
      <c r="F55" s="1572"/>
      <c r="G55" s="1572"/>
      <c r="H55" s="1572"/>
      <c r="I55" s="1572"/>
      <c r="J55" s="1572"/>
      <c r="K55" s="1572"/>
      <c r="L55" s="1572"/>
      <c r="M55" s="1572"/>
      <c r="N55" s="1572"/>
      <c r="O55" s="1572"/>
      <c r="P55" s="1572"/>
      <c r="Q55" s="1572"/>
      <c r="R55" s="1572"/>
      <c r="S55" s="1573"/>
    </row>
    <row r="56" spans="1:19" ht="50.1" customHeight="1">
      <c r="A56" s="92" t="s">
        <v>4846</v>
      </c>
      <c r="B56" s="1567" t="s">
        <v>4855</v>
      </c>
      <c r="C56" s="1567"/>
      <c r="D56" s="1567"/>
      <c r="E56" s="135">
        <v>0</v>
      </c>
      <c r="F56" s="135">
        <v>0</v>
      </c>
      <c r="G56" s="135">
        <v>0</v>
      </c>
      <c r="H56" s="135">
        <v>0</v>
      </c>
      <c r="I56" s="135">
        <v>0</v>
      </c>
      <c r="J56" s="135">
        <v>0</v>
      </c>
      <c r="K56" s="135">
        <v>0</v>
      </c>
      <c r="L56" s="135">
        <v>0</v>
      </c>
      <c r="M56" s="135">
        <v>0</v>
      </c>
      <c r="N56" s="135">
        <v>0</v>
      </c>
      <c r="O56" s="135">
        <v>0</v>
      </c>
      <c r="P56" s="135">
        <v>0</v>
      </c>
      <c r="Q56" s="116">
        <v>0</v>
      </c>
      <c r="R56" s="136"/>
      <c r="S56" s="121"/>
    </row>
    <row r="57" spans="1:19" ht="50.1" customHeight="1">
      <c r="A57" s="92" t="s">
        <v>4847</v>
      </c>
      <c r="B57" s="1567" t="s">
        <v>4855</v>
      </c>
      <c r="C57" s="1567"/>
      <c r="D57" s="1567"/>
      <c r="E57" s="135">
        <v>6.8000000000000005E-2</v>
      </c>
      <c r="F57" s="135">
        <v>7.0000000000000007E-2</v>
      </c>
      <c r="G57" s="135">
        <v>6.7000000000000004E-2</v>
      </c>
      <c r="H57" s="135">
        <v>6.0999999999999999E-2</v>
      </c>
      <c r="I57" s="135">
        <v>5.6000000000000001E-2</v>
      </c>
      <c r="J57" s="135">
        <v>5.7000000000000002E-2</v>
      </c>
      <c r="K57" s="135">
        <v>6.0999999999999999E-2</v>
      </c>
      <c r="L57" s="135">
        <v>6.0999999999999999E-2</v>
      </c>
      <c r="M57" s="135">
        <v>5.7000000000000002E-2</v>
      </c>
      <c r="N57" s="135">
        <v>5.8999999999999997E-2</v>
      </c>
      <c r="O57" s="135">
        <v>6.0999999999999999E-2</v>
      </c>
      <c r="P57" s="135">
        <v>6.8000000000000005E-2</v>
      </c>
      <c r="Q57" s="116">
        <v>6.2E-2</v>
      </c>
      <c r="R57" s="136"/>
      <c r="S57" s="121"/>
    </row>
    <row r="58" spans="1:19" ht="50.1" customHeight="1">
      <c r="A58" s="92" t="s">
        <v>4848</v>
      </c>
      <c r="B58" s="1567" t="s">
        <v>4855</v>
      </c>
      <c r="C58" s="1567"/>
      <c r="D58" s="1567"/>
      <c r="E58" s="135">
        <v>1.9039999999999999</v>
      </c>
      <c r="F58" s="135">
        <v>2.2050000000000001</v>
      </c>
      <c r="G58" s="135">
        <v>2.181</v>
      </c>
      <c r="H58" s="135">
        <v>2.052</v>
      </c>
      <c r="I58" s="135">
        <v>1.9239999999999999</v>
      </c>
      <c r="J58" s="135">
        <v>1.67</v>
      </c>
      <c r="K58" s="135">
        <v>1.59</v>
      </c>
      <c r="L58" s="135">
        <v>1.62</v>
      </c>
      <c r="M58" s="135">
        <v>1.411</v>
      </c>
      <c r="N58" s="135">
        <v>1.6970000000000001</v>
      </c>
      <c r="O58" s="135">
        <v>1.798</v>
      </c>
      <c r="P58" s="135">
        <v>1.8029999999999999</v>
      </c>
      <c r="Q58" s="116">
        <v>1.821</v>
      </c>
      <c r="R58" s="136"/>
      <c r="S58" s="121"/>
    </row>
    <row r="59" spans="1:19" s="89" customFormat="1" ht="50.1" customHeight="1">
      <c r="A59" s="137" t="s">
        <v>4844</v>
      </c>
      <c r="B59" s="1567" t="s">
        <v>4855</v>
      </c>
      <c r="C59" s="1567"/>
      <c r="D59" s="1567"/>
      <c r="E59" s="138">
        <v>3.6419999999999999</v>
      </c>
      <c r="F59" s="138">
        <v>3.3279999999999998</v>
      </c>
      <c r="G59" s="138">
        <v>2.9529999999999998</v>
      </c>
      <c r="H59" s="138">
        <v>2.6269999999999998</v>
      </c>
      <c r="I59" s="138">
        <v>1.984</v>
      </c>
      <c r="J59" s="138">
        <v>1.873</v>
      </c>
      <c r="K59" s="138">
        <v>2.0409999999999999</v>
      </c>
      <c r="L59" s="138">
        <v>2.399</v>
      </c>
      <c r="M59" s="138">
        <v>2.133</v>
      </c>
      <c r="N59" s="138">
        <v>2.8660000000000001</v>
      </c>
      <c r="O59" s="138">
        <v>3.0289999999999999</v>
      </c>
      <c r="P59" s="138">
        <v>3.3039999999999998</v>
      </c>
      <c r="Q59" s="116">
        <v>2.6819999999999999</v>
      </c>
      <c r="R59" s="139"/>
      <c r="S59" s="139"/>
    </row>
    <row r="60" spans="1:19" s="143" customFormat="1" ht="21" customHeight="1">
      <c r="A60" s="140"/>
      <c r="B60" s="140"/>
      <c r="C60" s="141"/>
      <c r="D60" s="140"/>
      <c r="E60" s="140"/>
      <c r="F60" s="140"/>
      <c r="G60" s="140"/>
      <c r="H60" s="140"/>
      <c r="I60" s="140"/>
      <c r="J60" s="140"/>
      <c r="K60" s="140"/>
      <c r="L60" s="140"/>
      <c r="M60" s="140"/>
      <c r="N60" s="140"/>
      <c r="O60" s="140"/>
      <c r="P60" s="140"/>
      <c r="Q60" s="142"/>
      <c r="R60" s="142"/>
      <c r="S60" s="142"/>
    </row>
    <row r="61" spans="1:19" ht="26.25">
      <c r="A61" s="1562" t="s">
        <v>4861</v>
      </c>
      <c r="B61" s="1562"/>
      <c r="C61" s="1562"/>
      <c r="D61" s="1562"/>
      <c r="E61" s="1562"/>
      <c r="F61" s="1562"/>
      <c r="G61" s="1562"/>
      <c r="H61" s="1562"/>
      <c r="I61" s="1562"/>
      <c r="J61" s="1562"/>
      <c r="K61" s="1562"/>
      <c r="L61" s="1562"/>
      <c r="M61" s="1562"/>
      <c r="N61" s="1562"/>
      <c r="O61" s="1562"/>
      <c r="P61" s="1562"/>
      <c r="Q61" s="1562"/>
      <c r="R61" s="1562"/>
      <c r="S61" s="1562"/>
    </row>
    <row r="62" spans="1:19" ht="26.25">
      <c r="A62" s="1563" t="s">
        <v>1459</v>
      </c>
      <c r="B62" s="1563"/>
      <c r="C62" s="1563"/>
      <c r="D62" s="1563"/>
      <c r="E62" s="1563"/>
      <c r="F62" s="1563"/>
      <c r="G62" s="1563"/>
      <c r="H62" s="1563"/>
      <c r="I62" s="1563"/>
      <c r="J62" s="1563"/>
      <c r="K62" s="1563"/>
      <c r="L62" s="1563"/>
      <c r="M62" s="1563"/>
      <c r="N62" s="1563"/>
      <c r="O62" s="1563"/>
      <c r="P62" s="1563"/>
      <c r="Q62" s="1563"/>
      <c r="R62" s="1563"/>
      <c r="S62" s="1563"/>
    </row>
    <row r="63" spans="1:19" ht="20.25">
      <c r="A63" s="1564" t="s">
        <v>1460</v>
      </c>
      <c r="B63" s="1564"/>
      <c r="C63" s="1564"/>
      <c r="D63" s="1564"/>
      <c r="E63" s="1564"/>
      <c r="F63" s="1564"/>
      <c r="G63" s="1564"/>
      <c r="H63" s="1564"/>
      <c r="I63" s="1564"/>
      <c r="J63" s="1564"/>
      <c r="K63" s="1564"/>
      <c r="L63" s="1564"/>
      <c r="M63" s="1564"/>
      <c r="N63" s="1564"/>
      <c r="O63" s="1564"/>
      <c r="P63" s="1564"/>
      <c r="Q63" s="86"/>
      <c r="R63" s="86"/>
      <c r="S63" s="86"/>
    </row>
    <row r="64" spans="1:19" ht="20.25">
      <c r="A64" s="1565" t="s">
        <v>1461</v>
      </c>
      <c r="B64" s="1565"/>
      <c r="C64" s="1565"/>
      <c r="D64" s="1565"/>
      <c r="E64" s="90"/>
      <c r="F64" s="90"/>
      <c r="G64" s="90"/>
      <c r="H64" s="90"/>
      <c r="I64" s="90"/>
      <c r="J64" s="90"/>
      <c r="K64" s="90"/>
      <c r="L64" s="90"/>
      <c r="M64" s="90"/>
      <c r="N64" s="90"/>
      <c r="O64" s="90"/>
      <c r="P64" s="90"/>
      <c r="Q64" s="86"/>
      <c r="R64" s="86"/>
      <c r="S64" s="86"/>
    </row>
    <row r="65" spans="1:19" ht="20.25">
      <c r="A65" s="1569" t="s">
        <v>1462</v>
      </c>
      <c r="B65" s="1569"/>
      <c r="C65" s="1566" t="s">
        <v>1463</v>
      </c>
      <c r="D65" s="1566" t="s">
        <v>1464</v>
      </c>
      <c r="E65" s="1569" t="s">
        <v>1465</v>
      </c>
      <c r="F65" s="1569"/>
      <c r="G65" s="1569"/>
      <c r="H65" s="1569"/>
      <c r="I65" s="1569"/>
      <c r="J65" s="1569"/>
      <c r="K65" s="1569"/>
      <c r="L65" s="1569"/>
      <c r="M65" s="1569"/>
      <c r="N65" s="1569"/>
      <c r="O65" s="1569"/>
      <c r="P65" s="1569"/>
      <c r="Q65" s="1566" t="s">
        <v>1466</v>
      </c>
      <c r="R65" s="1568"/>
      <c r="S65" s="1568"/>
    </row>
    <row r="66" spans="1:19" ht="20.25">
      <c r="A66" s="1569"/>
      <c r="B66" s="1569"/>
      <c r="C66" s="1566"/>
      <c r="D66" s="1574"/>
      <c r="E66" s="1569" t="s">
        <v>1467</v>
      </c>
      <c r="F66" s="1569"/>
      <c r="G66" s="1569"/>
      <c r="H66" s="1569" t="s">
        <v>1468</v>
      </c>
      <c r="I66" s="1569"/>
      <c r="J66" s="1569"/>
      <c r="K66" s="1569" t="s">
        <v>1469</v>
      </c>
      <c r="L66" s="1569"/>
      <c r="M66" s="1569"/>
      <c r="N66" s="1569" t="s">
        <v>1470</v>
      </c>
      <c r="O66" s="1569"/>
      <c r="P66" s="1569"/>
      <c r="Q66" s="1566"/>
      <c r="R66" s="1568"/>
      <c r="S66" s="1568"/>
    </row>
    <row r="67" spans="1:19" ht="20.25">
      <c r="A67" s="1569"/>
      <c r="B67" s="1569"/>
      <c r="C67" s="1566"/>
      <c r="D67" s="1574"/>
      <c r="E67" s="91" t="s">
        <v>1471</v>
      </c>
      <c r="F67" s="91" t="s">
        <v>1472</v>
      </c>
      <c r="G67" s="91" t="s">
        <v>1473</v>
      </c>
      <c r="H67" s="91" t="s">
        <v>1474</v>
      </c>
      <c r="I67" s="91" t="s">
        <v>1475</v>
      </c>
      <c r="J67" s="91" t="s">
        <v>1476</v>
      </c>
      <c r="K67" s="91" t="s">
        <v>1477</v>
      </c>
      <c r="L67" s="91" t="s">
        <v>1478</v>
      </c>
      <c r="M67" s="91" t="s">
        <v>1479</v>
      </c>
      <c r="N67" s="91" t="s">
        <v>1480</v>
      </c>
      <c r="O67" s="91" t="s">
        <v>1481</v>
      </c>
      <c r="P67" s="91" t="s">
        <v>4522</v>
      </c>
      <c r="Q67" s="1566"/>
      <c r="R67" s="1568"/>
      <c r="S67" s="1568"/>
    </row>
    <row r="68" spans="1:19" ht="18">
      <c r="A68" s="92">
        <v>1</v>
      </c>
      <c r="B68" s="92">
        <v>2</v>
      </c>
      <c r="C68" s="92">
        <v>3</v>
      </c>
      <c r="D68" s="92">
        <v>4</v>
      </c>
      <c r="E68" s="93">
        <v>5</v>
      </c>
      <c r="F68" s="93">
        <v>6</v>
      </c>
      <c r="G68" s="93">
        <v>7</v>
      </c>
      <c r="H68" s="93">
        <v>8</v>
      </c>
      <c r="I68" s="93">
        <v>9</v>
      </c>
      <c r="J68" s="93">
        <v>10</v>
      </c>
      <c r="K68" s="93">
        <v>11</v>
      </c>
      <c r="L68" s="93">
        <v>12</v>
      </c>
      <c r="M68" s="93">
        <v>13</v>
      </c>
      <c r="N68" s="93">
        <v>14</v>
      </c>
      <c r="O68" s="93">
        <v>15</v>
      </c>
      <c r="P68" s="93">
        <v>16</v>
      </c>
      <c r="Q68" s="93">
        <v>17</v>
      </c>
      <c r="R68" s="94"/>
      <c r="S68" s="95"/>
    </row>
    <row r="69" spans="1:19" ht="20.25">
      <c r="A69" s="1570" t="s">
        <v>4836</v>
      </c>
      <c r="B69" s="1570"/>
      <c r="C69" s="1570"/>
      <c r="D69" s="1570"/>
      <c r="E69" s="96">
        <v>11125.56</v>
      </c>
      <c r="F69" s="96">
        <v>13769.44</v>
      </c>
      <c r="G69" s="96">
        <v>15305.19</v>
      </c>
      <c r="H69" s="96">
        <v>14205.11</v>
      </c>
      <c r="I69" s="96">
        <v>13658.21</v>
      </c>
      <c r="J69" s="96">
        <v>13315.64</v>
      </c>
      <c r="K69" s="96">
        <v>13265.38</v>
      </c>
      <c r="L69" s="96">
        <v>8805.32</v>
      </c>
      <c r="M69" s="96">
        <v>9178.73</v>
      </c>
      <c r="N69" s="96">
        <v>12942.8</v>
      </c>
      <c r="O69" s="96">
        <v>15326.71</v>
      </c>
      <c r="P69" s="96">
        <v>14190.26</v>
      </c>
      <c r="Q69" s="97">
        <v>155088.35</v>
      </c>
      <c r="R69" s="98"/>
      <c r="S69" s="95"/>
    </row>
    <row r="70" spans="1:19" ht="18">
      <c r="A70" s="1571" t="s">
        <v>4837</v>
      </c>
      <c r="B70" s="1572"/>
      <c r="C70" s="1572"/>
      <c r="D70" s="1572"/>
      <c r="E70" s="1572"/>
      <c r="F70" s="1572"/>
      <c r="G70" s="1572"/>
      <c r="H70" s="1572"/>
      <c r="I70" s="1572"/>
      <c r="J70" s="1572"/>
      <c r="K70" s="1572"/>
      <c r="L70" s="1572"/>
      <c r="M70" s="1572"/>
      <c r="N70" s="1572"/>
      <c r="O70" s="1572"/>
      <c r="P70" s="1572"/>
      <c r="Q70" s="1573"/>
      <c r="R70" s="99"/>
      <c r="S70" s="99"/>
    </row>
    <row r="71" spans="1:19" ht="36">
      <c r="A71" s="100" t="s">
        <v>4838</v>
      </c>
      <c r="B71" s="92" t="s">
        <v>4839</v>
      </c>
      <c r="C71" s="92" t="s">
        <v>4840</v>
      </c>
      <c r="D71" s="92" t="s">
        <v>4841</v>
      </c>
      <c r="E71" s="101">
        <v>38580.15</v>
      </c>
      <c r="F71" s="101">
        <v>39721.01</v>
      </c>
      <c r="G71" s="101">
        <v>38957.199999999997</v>
      </c>
      <c r="H71" s="101">
        <v>35035.65</v>
      </c>
      <c r="I71" s="101">
        <v>33792.449999999997</v>
      </c>
      <c r="J71" s="101">
        <v>34358.29</v>
      </c>
      <c r="K71" s="101">
        <v>40647.839999999997</v>
      </c>
      <c r="L71" s="101">
        <v>34632.04</v>
      </c>
      <c r="M71" s="101">
        <v>30273.16</v>
      </c>
      <c r="N71" s="101">
        <v>33645.800000000003</v>
      </c>
      <c r="O71" s="101">
        <v>35870.06</v>
      </c>
      <c r="P71" s="101">
        <v>34703.47</v>
      </c>
      <c r="Q71" s="97">
        <v>430217.12</v>
      </c>
      <c r="R71" s="102"/>
      <c r="S71" s="103"/>
    </row>
    <row r="72" spans="1:19" ht="36">
      <c r="A72" s="100" t="s">
        <v>4838</v>
      </c>
      <c r="B72" s="92" t="s">
        <v>4839</v>
      </c>
      <c r="C72" s="92" t="s">
        <v>4840</v>
      </c>
      <c r="D72" s="92" t="s">
        <v>4842</v>
      </c>
      <c r="E72" s="104">
        <v>14894.17</v>
      </c>
      <c r="F72" s="101">
        <v>13513.51</v>
      </c>
      <c r="G72" s="101">
        <v>11389.16</v>
      </c>
      <c r="H72" s="101">
        <v>10440.18</v>
      </c>
      <c r="I72" s="101">
        <v>10591.38</v>
      </c>
      <c r="J72" s="101">
        <v>11465.7</v>
      </c>
      <c r="K72" s="101">
        <v>16172.56</v>
      </c>
      <c r="L72" s="101">
        <v>14020.55</v>
      </c>
      <c r="M72" s="101">
        <v>12060.79</v>
      </c>
      <c r="N72" s="101">
        <v>9582.8700000000008</v>
      </c>
      <c r="O72" s="101">
        <v>8339.57</v>
      </c>
      <c r="P72" s="101">
        <v>7848.07</v>
      </c>
      <c r="Q72" s="97">
        <v>140318.51</v>
      </c>
      <c r="R72" s="105"/>
      <c r="S72" s="106"/>
    </row>
    <row r="73" spans="1:19" ht="36">
      <c r="A73" s="107" t="s">
        <v>4843</v>
      </c>
      <c r="B73" s="107" t="s">
        <v>4839</v>
      </c>
      <c r="C73" s="92" t="s">
        <v>4840</v>
      </c>
      <c r="D73" s="107" t="s">
        <v>4842</v>
      </c>
      <c r="E73" s="108">
        <v>4995.72</v>
      </c>
      <c r="F73" s="109">
        <v>4958.0600000000004</v>
      </c>
      <c r="G73" s="109">
        <v>4814.75</v>
      </c>
      <c r="H73" s="109">
        <v>4197.3599999999997</v>
      </c>
      <c r="I73" s="109">
        <v>4047.26</v>
      </c>
      <c r="J73" s="109">
        <v>4226.55</v>
      </c>
      <c r="K73" s="109">
        <v>5107.1000000000004</v>
      </c>
      <c r="L73" s="109">
        <v>4499.97</v>
      </c>
      <c r="M73" s="109">
        <v>3923.04</v>
      </c>
      <c r="N73" s="109">
        <v>4730.2299999999996</v>
      </c>
      <c r="O73" s="109">
        <v>4922.88</v>
      </c>
      <c r="P73" s="109">
        <v>5054.24</v>
      </c>
      <c r="Q73" s="97">
        <v>55477.16</v>
      </c>
      <c r="R73" s="110"/>
      <c r="S73" s="111"/>
    </row>
    <row r="74" spans="1:19" ht="36">
      <c r="A74" s="92" t="s">
        <v>4844</v>
      </c>
      <c r="B74" s="92" t="s">
        <v>4839</v>
      </c>
      <c r="C74" s="92" t="s">
        <v>4840</v>
      </c>
      <c r="D74" s="92" t="s">
        <v>4842</v>
      </c>
      <c r="E74" s="104">
        <v>7564.7</v>
      </c>
      <c r="F74" s="101">
        <v>7480</v>
      </c>
      <c r="G74" s="101">
        <v>7448.1</v>
      </c>
      <c r="H74" s="101">
        <v>6193</v>
      </c>
      <c r="I74" s="101">
        <v>5495.6</v>
      </c>
      <c r="J74" s="101">
        <v>5350.4</v>
      </c>
      <c r="K74" s="101">
        <v>6102.8</v>
      </c>
      <c r="L74" s="101">
        <v>7306.2</v>
      </c>
      <c r="M74" s="101">
        <v>5110.6000000000004</v>
      </c>
      <c r="N74" s="101">
        <v>6389.9</v>
      </c>
      <c r="O74" s="101">
        <v>7280.9</v>
      </c>
      <c r="P74" s="101">
        <v>7610.9</v>
      </c>
      <c r="Q74" s="97">
        <v>79333.100000000006</v>
      </c>
      <c r="R74" s="105"/>
      <c r="S74" s="106"/>
    </row>
    <row r="75" spans="1:19" ht="18">
      <c r="A75" s="1577" t="s">
        <v>4845</v>
      </c>
      <c r="B75" s="1577"/>
      <c r="C75" s="1577"/>
      <c r="D75" s="1577"/>
      <c r="E75" s="1577"/>
      <c r="F75" s="1577"/>
      <c r="G75" s="1577"/>
      <c r="H75" s="1577"/>
      <c r="I75" s="1577"/>
      <c r="J75" s="1577"/>
      <c r="K75" s="1577"/>
      <c r="L75" s="1577"/>
      <c r="M75" s="1577"/>
      <c r="N75" s="1577"/>
      <c r="O75" s="1577"/>
      <c r="P75" s="1577"/>
      <c r="Q75" s="1577"/>
      <c r="R75" s="105"/>
      <c r="S75" s="106"/>
    </row>
    <row r="76" spans="1:19" ht="36">
      <c r="A76" s="92" t="s">
        <v>4846</v>
      </c>
      <c r="B76" s="1567" t="s">
        <v>4839</v>
      </c>
      <c r="C76" s="1567"/>
      <c r="D76" s="1567"/>
      <c r="E76" s="101">
        <v>806.2</v>
      </c>
      <c r="F76" s="101">
        <v>912.2</v>
      </c>
      <c r="G76" s="101">
        <v>1531.3</v>
      </c>
      <c r="H76" s="101">
        <v>1900.2</v>
      </c>
      <c r="I76" s="101">
        <v>1907.1</v>
      </c>
      <c r="J76" s="101">
        <v>1567.4</v>
      </c>
      <c r="K76" s="101">
        <v>1673.7</v>
      </c>
      <c r="L76" s="101">
        <v>1308.8</v>
      </c>
      <c r="M76" s="101">
        <v>1163.0999999999999</v>
      </c>
      <c r="N76" s="101">
        <v>1714.3</v>
      </c>
      <c r="O76" s="101">
        <v>1621.6</v>
      </c>
      <c r="P76" s="101">
        <v>1365.5</v>
      </c>
      <c r="Q76" s="97">
        <v>17471.400000000001</v>
      </c>
      <c r="R76" s="105"/>
      <c r="S76" s="106"/>
    </row>
    <row r="77" spans="1:19" ht="18">
      <c r="A77" s="92" t="s">
        <v>4847</v>
      </c>
      <c r="B77" s="1567" t="s">
        <v>4839</v>
      </c>
      <c r="C77" s="1567"/>
      <c r="D77" s="1567"/>
      <c r="E77" s="101">
        <v>560.1</v>
      </c>
      <c r="F77" s="101">
        <v>739.1</v>
      </c>
      <c r="G77" s="101">
        <v>805.5</v>
      </c>
      <c r="H77" s="101">
        <v>761.6</v>
      </c>
      <c r="I77" s="101">
        <v>714.7</v>
      </c>
      <c r="J77" s="101">
        <v>696.2</v>
      </c>
      <c r="K77" s="101">
        <v>702</v>
      </c>
      <c r="L77" s="101">
        <v>408.7</v>
      </c>
      <c r="M77" s="101">
        <v>461.6</v>
      </c>
      <c r="N77" s="101">
        <v>693.2</v>
      </c>
      <c r="O77" s="101">
        <v>839.8</v>
      </c>
      <c r="P77" s="101">
        <v>706.7</v>
      </c>
      <c r="Q77" s="97">
        <v>8089.2</v>
      </c>
      <c r="R77" s="105"/>
      <c r="S77" s="106"/>
    </row>
    <row r="78" spans="1:19" ht="54">
      <c r="A78" s="92" t="s">
        <v>4848</v>
      </c>
      <c r="B78" s="1567" t="s">
        <v>4839</v>
      </c>
      <c r="C78" s="1567"/>
      <c r="D78" s="1567"/>
      <c r="E78" s="101">
        <v>164.26</v>
      </c>
      <c r="F78" s="101">
        <v>168.14</v>
      </c>
      <c r="G78" s="101">
        <v>174.39</v>
      </c>
      <c r="H78" s="101">
        <v>118.31</v>
      </c>
      <c r="I78" s="101">
        <v>86.41</v>
      </c>
      <c r="J78" s="101">
        <v>87.04</v>
      </c>
      <c r="K78" s="101">
        <v>109.68</v>
      </c>
      <c r="L78" s="101">
        <v>117.82</v>
      </c>
      <c r="M78" s="101">
        <v>104.03</v>
      </c>
      <c r="N78" s="101">
        <v>125.3</v>
      </c>
      <c r="O78" s="101">
        <v>165.31</v>
      </c>
      <c r="P78" s="101">
        <v>168.06</v>
      </c>
      <c r="Q78" s="97">
        <v>1588.75</v>
      </c>
      <c r="R78" s="105"/>
      <c r="S78" s="106"/>
    </row>
    <row r="79" spans="1:19" ht="72">
      <c r="A79" s="107" t="s">
        <v>4849</v>
      </c>
      <c r="B79" s="1576" t="s">
        <v>4839</v>
      </c>
      <c r="C79" s="1576"/>
      <c r="D79" s="1576"/>
      <c r="E79" s="109">
        <v>9595</v>
      </c>
      <c r="F79" s="109">
        <v>11950</v>
      </c>
      <c r="G79" s="109">
        <v>12794</v>
      </c>
      <c r="H79" s="109">
        <v>11425</v>
      </c>
      <c r="I79" s="109">
        <v>10950</v>
      </c>
      <c r="J79" s="109">
        <v>10965</v>
      </c>
      <c r="K79" s="109">
        <v>10780</v>
      </c>
      <c r="L79" s="109">
        <v>6970</v>
      </c>
      <c r="M79" s="109">
        <v>7450</v>
      </c>
      <c r="N79" s="109">
        <v>10410</v>
      </c>
      <c r="O79" s="109">
        <v>12700</v>
      </c>
      <c r="P79" s="109">
        <v>11950</v>
      </c>
      <c r="Q79" s="97">
        <v>127939</v>
      </c>
      <c r="R79" s="110"/>
      <c r="S79" s="111"/>
    </row>
    <row r="80" spans="1:19" ht="20.25">
      <c r="A80" s="1564" t="s">
        <v>4850</v>
      </c>
      <c r="B80" s="1564"/>
      <c r="C80" s="1564"/>
      <c r="D80" s="1564"/>
      <c r="E80" s="1564"/>
      <c r="F80" s="1564"/>
      <c r="G80" s="1564"/>
      <c r="H80" s="1564"/>
      <c r="I80" s="1564"/>
      <c r="J80" s="1564"/>
      <c r="K80" s="1564"/>
      <c r="L80" s="1564"/>
      <c r="M80" s="1564"/>
      <c r="N80" s="1564"/>
      <c r="O80" s="1564"/>
      <c r="P80" s="1564"/>
      <c r="Q80" s="1564"/>
      <c r="R80" s="105"/>
      <c r="S80" s="106"/>
    </row>
    <row r="81" spans="1:19" ht="20.25">
      <c r="A81" s="1569" t="s">
        <v>1462</v>
      </c>
      <c r="B81" s="1569"/>
      <c r="C81" s="1566" t="s">
        <v>1463</v>
      </c>
      <c r="D81" s="1566" t="s">
        <v>1464</v>
      </c>
      <c r="E81" s="1569" t="s">
        <v>4851</v>
      </c>
      <c r="F81" s="1569"/>
      <c r="G81" s="1569"/>
      <c r="H81" s="1569"/>
      <c r="I81" s="1569"/>
      <c r="J81" s="1569"/>
      <c r="K81" s="1569"/>
      <c r="L81" s="1569"/>
      <c r="M81" s="1569"/>
      <c r="N81" s="1569"/>
      <c r="O81" s="1569"/>
      <c r="P81" s="1569"/>
      <c r="Q81" s="1566" t="s">
        <v>1466</v>
      </c>
      <c r="R81" s="1566" t="s">
        <v>4852</v>
      </c>
      <c r="S81" s="1566" t="s">
        <v>4853</v>
      </c>
    </row>
    <row r="82" spans="1:19" ht="20.25">
      <c r="A82" s="1569"/>
      <c r="B82" s="1569"/>
      <c r="C82" s="1566"/>
      <c r="D82" s="1574"/>
      <c r="E82" s="1569" t="s">
        <v>1467</v>
      </c>
      <c r="F82" s="1569"/>
      <c r="G82" s="1569"/>
      <c r="H82" s="1569" t="s">
        <v>1468</v>
      </c>
      <c r="I82" s="1569"/>
      <c r="J82" s="1569"/>
      <c r="K82" s="1569" t="s">
        <v>1469</v>
      </c>
      <c r="L82" s="1569"/>
      <c r="M82" s="1569"/>
      <c r="N82" s="1569" t="s">
        <v>1470</v>
      </c>
      <c r="O82" s="1569"/>
      <c r="P82" s="1569"/>
      <c r="Q82" s="1566"/>
      <c r="R82" s="1566"/>
      <c r="S82" s="1566"/>
    </row>
    <row r="83" spans="1:19" ht="20.25">
      <c r="A83" s="1569"/>
      <c r="B83" s="1569"/>
      <c r="C83" s="1566"/>
      <c r="D83" s="1574"/>
      <c r="E83" s="91" t="s">
        <v>1471</v>
      </c>
      <c r="F83" s="91" t="s">
        <v>1472</v>
      </c>
      <c r="G83" s="91" t="s">
        <v>1473</v>
      </c>
      <c r="H83" s="91" t="s">
        <v>1474</v>
      </c>
      <c r="I83" s="91" t="s">
        <v>1475</v>
      </c>
      <c r="J83" s="91" t="s">
        <v>1476</v>
      </c>
      <c r="K83" s="91" t="s">
        <v>1477</v>
      </c>
      <c r="L83" s="91" t="s">
        <v>1478</v>
      </c>
      <c r="M83" s="91" t="s">
        <v>1479</v>
      </c>
      <c r="N83" s="91" t="s">
        <v>1480</v>
      </c>
      <c r="O83" s="91" t="s">
        <v>1481</v>
      </c>
      <c r="P83" s="91" t="s">
        <v>4522</v>
      </c>
      <c r="Q83" s="1566"/>
      <c r="R83" s="1566"/>
      <c r="S83" s="1566"/>
    </row>
    <row r="84" spans="1:19" ht="18">
      <c r="A84" s="1566">
        <v>1</v>
      </c>
      <c r="B84" s="1566"/>
      <c r="C84" s="92">
        <v>2</v>
      </c>
      <c r="D84" s="92">
        <v>3</v>
      </c>
      <c r="E84" s="92">
        <v>4</v>
      </c>
      <c r="F84" s="92">
        <v>5</v>
      </c>
      <c r="G84" s="92">
        <v>6</v>
      </c>
      <c r="H84" s="92">
        <v>7</v>
      </c>
      <c r="I84" s="92">
        <v>8</v>
      </c>
      <c r="J84" s="92">
        <v>9</v>
      </c>
      <c r="K84" s="92">
        <v>10</v>
      </c>
      <c r="L84" s="92">
        <v>11</v>
      </c>
      <c r="M84" s="92">
        <v>12</v>
      </c>
      <c r="N84" s="92">
        <v>13</v>
      </c>
      <c r="O84" s="92">
        <v>14</v>
      </c>
      <c r="P84" s="92">
        <v>15</v>
      </c>
      <c r="Q84" s="92">
        <v>16</v>
      </c>
      <c r="R84" s="93">
        <v>18</v>
      </c>
      <c r="S84" s="113">
        <v>19</v>
      </c>
    </row>
    <row r="85" spans="1:19" ht="20.25">
      <c r="A85" s="1575" t="s">
        <v>4854</v>
      </c>
      <c r="B85" s="1575"/>
      <c r="C85" s="1575"/>
      <c r="D85" s="1575"/>
      <c r="E85" s="114">
        <v>84.914000000000001</v>
      </c>
      <c r="F85" s="114">
        <v>85.52600000000001</v>
      </c>
      <c r="G85" s="114">
        <v>77.887</v>
      </c>
      <c r="H85" s="114">
        <v>73.320999999999998</v>
      </c>
      <c r="I85" s="114">
        <v>69.551000000000002</v>
      </c>
      <c r="J85" s="114">
        <v>72.171999999999997</v>
      </c>
      <c r="K85" s="114">
        <v>81.815999999999988</v>
      </c>
      <c r="L85" s="114">
        <v>65.847000000000008</v>
      </c>
      <c r="M85" s="114">
        <v>60.308999999999997</v>
      </c>
      <c r="N85" s="114">
        <v>71.431999999999988</v>
      </c>
      <c r="O85" s="114">
        <v>78.864999999999995</v>
      </c>
      <c r="P85" s="114">
        <v>70.8</v>
      </c>
      <c r="Q85" s="115">
        <v>74.37</v>
      </c>
      <c r="R85" s="116">
        <v>93</v>
      </c>
      <c r="S85" s="116">
        <v>323</v>
      </c>
    </row>
    <row r="86" spans="1:19" ht="18">
      <c r="A86" s="117" t="s">
        <v>4837</v>
      </c>
      <c r="B86" s="117"/>
      <c r="C86" s="117"/>
      <c r="D86" s="117"/>
      <c r="E86" s="117"/>
      <c r="F86" s="117"/>
      <c r="G86" s="117"/>
      <c r="H86" s="117"/>
      <c r="I86" s="117"/>
      <c r="J86" s="117"/>
      <c r="K86" s="117"/>
      <c r="L86" s="117"/>
      <c r="M86" s="117"/>
      <c r="N86" s="117"/>
      <c r="O86" s="117"/>
      <c r="P86" s="117"/>
      <c r="Q86" s="117"/>
      <c r="R86" s="117"/>
      <c r="S86" s="117"/>
    </row>
    <row r="87" spans="1:19" ht="36">
      <c r="A87" s="92" t="s">
        <v>4846</v>
      </c>
      <c r="B87" s="1567" t="s">
        <v>4855</v>
      </c>
      <c r="C87" s="1567"/>
      <c r="D87" s="1567"/>
      <c r="E87" s="119">
        <v>3.6280000000000001</v>
      </c>
      <c r="F87" s="119">
        <v>4.1050000000000004</v>
      </c>
      <c r="G87" s="119">
        <v>6.891</v>
      </c>
      <c r="H87" s="119">
        <v>8.5510000000000002</v>
      </c>
      <c r="I87" s="119">
        <v>8.5820000000000007</v>
      </c>
      <c r="J87" s="119">
        <v>7.0529999999999999</v>
      </c>
      <c r="K87" s="119">
        <v>7.532</v>
      </c>
      <c r="L87" s="119">
        <v>5.3</v>
      </c>
      <c r="M87" s="119">
        <v>5.234</v>
      </c>
      <c r="N87" s="119">
        <v>7.7140000000000004</v>
      </c>
      <c r="O87" s="119">
        <v>7.2969999999999997</v>
      </c>
      <c r="P87" s="119">
        <v>6.1449999999999996</v>
      </c>
      <c r="Q87" s="116">
        <v>6.5030000000000001</v>
      </c>
      <c r="R87" s="120"/>
      <c r="S87" s="121"/>
    </row>
    <row r="88" spans="1:19" ht="18">
      <c r="A88" s="92" t="s">
        <v>4847</v>
      </c>
      <c r="B88" s="1567" t="s">
        <v>4855</v>
      </c>
      <c r="C88" s="1567"/>
      <c r="D88" s="1567"/>
      <c r="E88" s="119">
        <v>1.3009999999999999</v>
      </c>
      <c r="F88" s="119">
        <v>1.5920000000000001</v>
      </c>
      <c r="G88" s="119">
        <v>1.722</v>
      </c>
      <c r="H88" s="119">
        <v>1.63</v>
      </c>
      <c r="I88" s="119">
        <v>1.538</v>
      </c>
      <c r="J88" s="119">
        <v>1.585</v>
      </c>
      <c r="K88" s="119">
        <v>1.64</v>
      </c>
      <c r="L88" s="119">
        <v>0.96599999999999997</v>
      </c>
      <c r="M88" s="119">
        <v>1.048</v>
      </c>
      <c r="N88" s="119">
        <v>1.5249999999999999</v>
      </c>
      <c r="O88" s="119">
        <v>1.7769999999999999</v>
      </c>
      <c r="P88" s="119">
        <v>1.526</v>
      </c>
      <c r="Q88" s="116">
        <v>1.4870000000000001</v>
      </c>
      <c r="R88" s="120"/>
      <c r="S88" s="121"/>
    </row>
    <row r="89" spans="1:19" ht="54">
      <c r="A89" s="92" t="s">
        <v>4848</v>
      </c>
      <c r="B89" s="1567" t="s">
        <v>4855</v>
      </c>
      <c r="C89" s="1567"/>
      <c r="D89" s="1567"/>
      <c r="E89" s="119">
        <v>0.28699999999999998</v>
      </c>
      <c r="F89" s="119">
        <v>0.32500000000000001</v>
      </c>
      <c r="G89" s="119">
        <v>0.30399999999999999</v>
      </c>
      <c r="H89" s="119">
        <v>0.214</v>
      </c>
      <c r="I89" s="119">
        <v>0.15</v>
      </c>
      <c r="J89" s="119">
        <v>0.157</v>
      </c>
      <c r="K89" s="119">
        <v>0.191</v>
      </c>
      <c r="L89" s="119">
        <v>0.20499999999999999</v>
      </c>
      <c r="M89" s="119">
        <v>0.187</v>
      </c>
      <c r="N89" s="119">
        <v>0.218</v>
      </c>
      <c r="O89" s="119">
        <v>0.29799999999999999</v>
      </c>
      <c r="P89" s="119">
        <v>0.29299999999999998</v>
      </c>
      <c r="Q89" s="116">
        <v>0.23599999999999999</v>
      </c>
      <c r="R89" s="120"/>
      <c r="S89" s="121"/>
    </row>
    <row r="90" spans="1:19" ht="72">
      <c r="A90" s="92" t="s">
        <v>4849</v>
      </c>
      <c r="B90" s="1567" t="s">
        <v>4855</v>
      </c>
      <c r="C90" s="1567"/>
      <c r="D90" s="1567"/>
      <c r="E90" s="119">
        <v>38.421999999999997</v>
      </c>
      <c r="F90" s="119">
        <v>38.338999999999999</v>
      </c>
      <c r="G90" s="119">
        <v>32.89</v>
      </c>
      <c r="H90" s="119">
        <v>30.835000000000001</v>
      </c>
      <c r="I90" s="119">
        <v>28.95</v>
      </c>
      <c r="J90" s="119">
        <v>31.311</v>
      </c>
      <c r="K90" s="119">
        <v>31.853000000000002</v>
      </c>
      <c r="L90" s="119">
        <v>20.552</v>
      </c>
      <c r="M90" s="119">
        <v>21.783999999999999</v>
      </c>
      <c r="N90" s="119">
        <v>30.280999999999999</v>
      </c>
      <c r="O90" s="119">
        <v>37.231000000000002</v>
      </c>
      <c r="P90" s="119">
        <v>30.885000000000002</v>
      </c>
      <c r="Q90" s="116">
        <v>31.111000000000001</v>
      </c>
      <c r="R90" s="120"/>
      <c r="S90" s="121"/>
    </row>
    <row r="91" spans="1:19" ht="36">
      <c r="A91" s="100" t="s">
        <v>4856</v>
      </c>
      <c r="B91" s="1567" t="s">
        <v>4855</v>
      </c>
      <c r="C91" s="1567"/>
      <c r="D91" s="1567"/>
      <c r="E91" s="119">
        <v>20</v>
      </c>
      <c r="F91" s="119">
        <v>20.100000000000001</v>
      </c>
      <c r="G91" s="119">
        <v>15.3</v>
      </c>
      <c r="H91" s="119">
        <v>14.5</v>
      </c>
      <c r="I91" s="119">
        <v>14.2</v>
      </c>
      <c r="J91" s="119">
        <v>15.9</v>
      </c>
      <c r="K91" s="119">
        <v>21.7</v>
      </c>
      <c r="L91" s="119">
        <v>18.8</v>
      </c>
      <c r="M91" s="119">
        <v>16.8</v>
      </c>
      <c r="N91" s="119">
        <v>12.9</v>
      </c>
      <c r="O91" s="119">
        <v>11.6</v>
      </c>
      <c r="P91" s="119">
        <v>10.5</v>
      </c>
      <c r="Q91" s="116">
        <v>16.024999999999999</v>
      </c>
      <c r="R91" s="120"/>
      <c r="S91" s="121"/>
    </row>
    <row r="92" spans="1:19" ht="36">
      <c r="A92" s="107" t="s">
        <v>4857</v>
      </c>
      <c r="B92" s="1567" t="s">
        <v>4855</v>
      </c>
      <c r="C92" s="1567"/>
      <c r="D92" s="1567"/>
      <c r="E92" s="119">
        <v>8.0579999999999998</v>
      </c>
      <c r="F92" s="119">
        <v>7.9950000000000001</v>
      </c>
      <c r="G92" s="119">
        <v>7.766</v>
      </c>
      <c r="H92" s="119">
        <v>6.77</v>
      </c>
      <c r="I92" s="119">
        <v>6.5279999999999996</v>
      </c>
      <c r="J92" s="119">
        <v>6.8170000000000002</v>
      </c>
      <c r="K92" s="119">
        <v>8.2370000000000001</v>
      </c>
      <c r="L92" s="119">
        <v>7.258</v>
      </c>
      <c r="M92" s="119">
        <v>6.327</v>
      </c>
      <c r="N92" s="119">
        <v>7.6289999999999996</v>
      </c>
      <c r="O92" s="119">
        <v>7.94</v>
      </c>
      <c r="P92" s="119">
        <v>8.1519999999999992</v>
      </c>
      <c r="Q92" s="116">
        <v>7.4560000000000004</v>
      </c>
      <c r="R92" s="120"/>
      <c r="S92" s="121"/>
    </row>
    <row r="93" spans="1:19" ht="36">
      <c r="A93" s="92" t="s">
        <v>4858</v>
      </c>
      <c r="B93" s="1567" t="s">
        <v>4855</v>
      </c>
      <c r="C93" s="1567"/>
      <c r="D93" s="1567"/>
      <c r="E93" s="119">
        <v>13.218</v>
      </c>
      <c r="F93" s="119">
        <v>13.07</v>
      </c>
      <c r="G93" s="119">
        <v>13.013999999999999</v>
      </c>
      <c r="H93" s="119">
        <v>10.821</v>
      </c>
      <c r="I93" s="119">
        <v>9.6029999999999998</v>
      </c>
      <c r="J93" s="119">
        <v>9.3490000000000002</v>
      </c>
      <c r="K93" s="119">
        <v>10.663</v>
      </c>
      <c r="L93" s="119">
        <v>12.766</v>
      </c>
      <c r="M93" s="119">
        <v>8.9290000000000003</v>
      </c>
      <c r="N93" s="119">
        <v>11.164999999999999</v>
      </c>
      <c r="O93" s="119">
        <v>12.722</v>
      </c>
      <c r="P93" s="119">
        <v>13.298999999999999</v>
      </c>
      <c r="Q93" s="116">
        <v>11.552</v>
      </c>
      <c r="R93" s="120"/>
      <c r="S93" s="121"/>
    </row>
    <row r="94" spans="1:19" ht="26.25">
      <c r="A94" s="1579" t="s">
        <v>4859</v>
      </c>
      <c r="B94" s="1579"/>
      <c r="C94" s="1579"/>
      <c r="D94" s="1579"/>
      <c r="E94" s="1579"/>
      <c r="F94" s="1579"/>
      <c r="G94" s="1579"/>
      <c r="H94" s="1579"/>
      <c r="I94" s="1579"/>
      <c r="J94" s="1579"/>
      <c r="K94" s="1579"/>
      <c r="L94" s="1579"/>
      <c r="M94" s="1579"/>
      <c r="N94" s="1579"/>
      <c r="O94" s="1579"/>
      <c r="P94" s="1579"/>
      <c r="Q94" s="124"/>
      <c r="R94" s="125"/>
      <c r="S94" s="106"/>
    </row>
    <row r="95" spans="1:19" ht="20.25">
      <c r="A95" s="1565" t="s">
        <v>1461</v>
      </c>
      <c r="B95" s="1565"/>
      <c r="C95" s="1565"/>
      <c r="D95" s="1565"/>
      <c r="E95" s="126"/>
      <c r="F95" s="126"/>
      <c r="G95" s="126"/>
      <c r="H95" s="126"/>
      <c r="I95" s="126"/>
      <c r="J95" s="126"/>
      <c r="K95" s="126"/>
      <c r="L95" s="126"/>
      <c r="M95" s="126"/>
      <c r="N95" s="126"/>
      <c r="O95" s="126"/>
      <c r="P95" s="126"/>
      <c r="Q95" s="127"/>
      <c r="R95" s="125"/>
      <c r="S95" s="106"/>
    </row>
    <row r="96" spans="1:19" ht="20.25">
      <c r="A96" s="1578" t="s">
        <v>1462</v>
      </c>
      <c r="B96" s="1578"/>
      <c r="C96" s="1580" t="s">
        <v>1463</v>
      </c>
      <c r="D96" s="1580" t="s">
        <v>1464</v>
      </c>
      <c r="E96" s="1578" t="s">
        <v>4860</v>
      </c>
      <c r="F96" s="1578"/>
      <c r="G96" s="1578"/>
      <c r="H96" s="1578"/>
      <c r="I96" s="1578"/>
      <c r="J96" s="1578"/>
      <c r="K96" s="1578"/>
      <c r="L96" s="1578"/>
      <c r="M96" s="1578"/>
      <c r="N96" s="1578"/>
      <c r="O96" s="1578"/>
      <c r="P96" s="1578"/>
      <c r="Q96" s="1580" t="s">
        <v>1466</v>
      </c>
      <c r="R96" s="1568"/>
      <c r="S96" s="1568"/>
    </row>
    <row r="97" spans="1:19" ht="20.25">
      <c r="A97" s="1569"/>
      <c r="B97" s="1569"/>
      <c r="C97" s="1566"/>
      <c r="D97" s="1574"/>
      <c r="E97" s="1569" t="s">
        <v>1467</v>
      </c>
      <c r="F97" s="1569"/>
      <c r="G97" s="1569"/>
      <c r="H97" s="1569" t="s">
        <v>1468</v>
      </c>
      <c r="I97" s="1569"/>
      <c r="J97" s="1569"/>
      <c r="K97" s="1569" t="s">
        <v>1469</v>
      </c>
      <c r="L97" s="1569"/>
      <c r="M97" s="1569"/>
      <c r="N97" s="1569" t="s">
        <v>1470</v>
      </c>
      <c r="O97" s="1569"/>
      <c r="P97" s="1569"/>
      <c r="Q97" s="1566"/>
      <c r="R97" s="1568"/>
      <c r="S97" s="1568"/>
    </row>
    <row r="98" spans="1:19" ht="20.25">
      <c r="A98" s="1569"/>
      <c r="B98" s="1569"/>
      <c r="C98" s="1566"/>
      <c r="D98" s="1574"/>
      <c r="E98" s="91" t="s">
        <v>1471</v>
      </c>
      <c r="F98" s="91" t="s">
        <v>1472</v>
      </c>
      <c r="G98" s="91" t="s">
        <v>1473</v>
      </c>
      <c r="H98" s="91" t="s">
        <v>1474</v>
      </c>
      <c r="I98" s="91" t="s">
        <v>1475</v>
      </c>
      <c r="J98" s="91" t="s">
        <v>1476</v>
      </c>
      <c r="K98" s="91" t="s">
        <v>1477</v>
      </c>
      <c r="L98" s="91" t="s">
        <v>1478</v>
      </c>
      <c r="M98" s="91" t="s">
        <v>1479</v>
      </c>
      <c r="N98" s="91" t="s">
        <v>1480</v>
      </c>
      <c r="O98" s="91" t="s">
        <v>1481</v>
      </c>
      <c r="P98" s="91" t="s">
        <v>4522</v>
      </c>
      <c r="Q98" s="1566"/>
      <c r="R98" s="1568"/>
      <c r="S98" s="1568"/>
    </row>
    <row r="99" spans="1:19" ht="18">
      <c r="A99" s="92">
        <v>1</v>
      </c>
      <c r="B99" s="92">
        <v>2</v>
      </c>
      <c r="C99" s="92">
        <v>3</v>
      </c>
      <c r="D99" s="92">
        <v>4</v>
      </c>
      <c r="E99" s="93">
        <v>5</v>
      </c>
      <c r="F99" s="93">
        <v>6</v>
      </c>
      <c r="G99" s="93">
        <v>7</v>
      </c>
      <c r="H99" s="93">
        <v>8</v>
      </c>
      <c r="I99" s="93">
        <v>9</v>
      </c>
      <c r="J99" s="93">
        <v>10</v>
      </c>
      <c r="K99" s="93">
        <v>11</v>
      </c>
      <c r="L99" s="93">
        <v>12</v>
      </c>
      <c r="M99" s="93">
        <v>13</v>
      </c>
      <c r="N99" s="93">
        <v>14</v>
      </c>
      <c r="O99" s="93">
        <v>15</v>
      </c>
      <c r="P99" s="93">
        <v>16</v>
      </c>
      <c r="Q99" s="93">
        <v>17</v>
      </c>
      <c r="R99" s="94"/>
      <c r="S99" s="95"/>
    </row>
    <row r="100" spans="1:19" ht="20.25">
      <c r="A100" s="1570" t="s">
        <v>4836</v>
      </c>
      <c r="B100" s="1570"/>
      <c r="C100" s="1570"/>
      <c r="D100" s="1570"/>
      <c r="E100" s="128">
        <v>860.87</v>
      </c>
      <c r="F100" s="128">
        <v>897.93</v>
      </c>
      <c r="G100" s="128">
        <v>924.25</v>
      </c>
      <c r="H100" s="128">
        <v>765.1</v>
      </c>
      <c r="I100" s="128">
        <v>751.22</v>
      </c>
      <c r="J100" s="128">
        <v>843.22</v>
      </c>
      <c r="K100" s="128">
        <v>819.09</v>
      </c>
      <c r="L100" s="128">
        <v>794.52</v>
      </c>
      <c r="M100" s="128">
        <v>853.62</v>
      </c>
      <c r="N100" s="128">
        <v>988.33</v>
      </c>
      <c r="O100" s="128">
        <v>1038.26</v>
      </c>
      <c r="P100" s="128">
        <v>1026.01</v>
      </c>
      <c r="Q100" s="129">
        <v>10562.42</v>
      </c>
      <c r="R100" s="98"/>
      <c r="S100" s="95"/>
    </row>
    <row r="101" spans="1:19" ht="18">
      <c r="A101" s="1581"/>
      <c r="B101" s="1581"/>
      <c r="C101" s="1581"/>
      <c r="D101" s="1581"/>
      <c r="E101" s="1581"/>
      <c r="F101" s="1581"/>
      <c r="G101" s="1581"/>
      <c r="H101" s="1581"/>
      <c r="I101" s="1581"/>
      <c r="J101" s="1581"/>
      <c r="K101" s="1581"/>
      <c r="L101" s="1581"/>
      <c r="M101" s="1581"/>
      <c r="N101" s="1581"/>
      <c r="O101" s="1581"/>
      <c r="P101" s="1581"/>
      <c r="Q101" s="1581"/>
      <c r="R101" s="125"/>
      <c r="S101" s="106"/>
    </row>
    <row r="102" spans="1:19" ht="36">
      <c r="A102" s="100" t="s">
        <v>4838</v>
      </c>
      <c r="B102" s="92" t="s">
        <v>4839</v>
      </c>
      <c r="C102" s="92" t="s">
        <v>4840</v>
      </c>
      <c r="D102" s="92" t="s">
        <v>4841</v>
      </c>
      <c r="E102" s="101">
        <v>2740.37</v>
      </c>
      <c r="F102" s="101">
        <v>2577.9299999999998</v>
      </c>
      <c r="G102" s="101">
        <v>2586.4</v>
      </c>
      <c r="H102" s="101">
        <v>1877.05</v>
      </c>
      <c r="I102" s="101">
        <v>1811.72</v>
      </c>
      <c r="J102" s="101">
        <v>1730.47</v>
      </c>
      <c r="K102" s="101">
        <v>1872.24</v>
      </c>
      <c r="L102" s="101">
        <v>1823.52</v>
      </c>
      <c r="M102" s="101">
        <v>1813.32</v>
      </c>
      <c r="N102" s="101">
        <v>2457.2800000000002</v>
      </c>
      <c r="O102" s="101">
        <v>2762.36</v>
      </c>
      <c r="P102" s="101">
        <v>2830.96</v>
      </c>
      <c r="Q102" s="97">
        <v>26883.62</v>
      </c>
      <c r="R102" s="125"/>
      <c r="S102" s="106"/>
    </row>
    <row r="103" spans="1:19" ht="36">
      <c r="A103" s="92" t="s">
        <v>4844</v>
      </c>
      <c r="B103" s="92" t="s">
        <v>4839</v>
      </c>
      <c r="C103" s="92" t="s">
        <v>4840</v>
      </c>
      <c r="D103" s="92" t="s">
        <v>4842</v>
      </c>
      <c r="E103" s="101">
        <v>1879.5</v>
      </c>
      <c r="F103" s="101">
        <v>1680</v>
      </c>
      <c r="G103" s="101">
        <v>1662.15</v>
      </c>
      <c r="H103" s="101">
        <v>1111.95</v>
      </c>
      <c r="I103" s="101">
        <v>1060.5</v>
      </c>
      <c r="J103" s="101">
        <v>887.25</v>
      </c>
      <c r="K103" s="101">
        <v>1053.1500000000001</v>
      </c>
      <c r="L103" s="101">
        <v>1029</v>
      </c>
      <c r="M103" s="101">
        <v>959.7</v>
      </c>
      <c r="N103" s="101">
        <v>1468.95</v>
      </c>
      <c r="O103" s="101">
        <v>1724.1</v>
      </c>
      <c r="P103" s="101">
        <v>1804.95</v>
      </c>
      <c r="Q103" s="97">
        <v>16321.2</v>
      </c>
      <c r="R103" s="125"/>
      <c r="S103" s="106"/>
    </row>
    <row r="104" spans="1:19" ht="18">
      <c r="A104" s="1577" t="s">
        <v>4845</v>
      </c>
      <c r="B104" s="1577"/>
      <c r="C104" s="1577"/>
      <c r="D104" s="1577"/>
      <c r="E104" s="1577"/>
      <c r="F104" s="1577"/>
      <c r="G104" s="1577"/>
      <c r="H104" s="1577"/>
      <c r="I104" s="1577"/>
      <c r="J104" s="1577"/>
      <c r="K104" s="1577"/>
      <c r="L104" s="1577"/>
      <c r="M104" s="1577"/>
      <c r="N104" s="1577"/>
      <c r="O104" s="1577"/>
      <c r="P104" s="1577"/>
      <c r="Q104" s="1577"/>
      <c r="R104" s="125"/>
      <c r="S104" s="106"/>
    </row>
    <row r="105" spans="1:19" ht="36">
      <c r="A105" s="92" t="s">
        <v>4846</v>
      </c>
      <c r="B105" s="1567" t="s">
        <v>4839</v>
      </c>
      <c r="C105" s="1567"/>
      <c r="D105" s="1567"/>
      <c r="E105" s="130">
        <v>0</v>
      </c>
      <c r="F105" s="130">
        <v>0</v>
      </c>
      <c r="G105" s="130">
        <v>0</v>
      </c>
      <c r="H105" s="130">
        <v>0</v>
      </c>
      <c r="I105" s="130">
        <v>0</v>
      </c>
      <c r="J105" s="130">
        <v>0</v>
      </c>
      <c r="K105" s="130">
        <v>0</v>
      </c>
      <c r="L105" s="130">
        <v>0</v>
      </c>
      <c r="M105" s="130">
        <v>0</v>
      </c>
      <c r="N105" s="130">
        <v>0</v>
      </c>
      <c r="O105" s="130">
        <v>0</v>
      </c>
      <c r="P105" s="130">
        <v>0</v>
      </c>
      <c r="Q105" s="97">
        <v>0</v>
      </c>
      <c r="R105" s="125"/>
      <c r="S105" s="106"/>
    </row>
    <row r="106" spans="1:19" ht="18">
      <c r="A106" s="92" t="s">
        <v>4847</v>
      </c>
      <c r="B106" s="1567" t="s">
        <v>4839</v>
      </c>
      <c r="C106" s="1567"/>
      <c r="D106" s="1567"/>
      <c r="E106" s="128">
        <v>46</v>
      </c>
      <c r="F106" s="131">
        <v>43</v>
      </c>
      <c r="G106" s="131">
        <v>45</v>
      </c>
      <c r="H106" s="131">
        <v>40</v>
      </c>
      <c r="I106" s="131">
        <v>38</v>
      </c>
      <c r="J106" s="131">
        <v>37</v>
      </c>
      <c r="K106" s="131">
        <v>41</v>
      </c>
      <c r="L106" s="131">
        <v>41</v>
      </c>
      <c r="M106" s="131">
        <v>37</v>
      </c>
      <c r="N106" s="131">
        <v>40</v>
      </c>
      <c r="O106" s="131">
        <v>40</v>
      </c>
      <c r="P106" s="131">
        <v>46</v>
      </c>
      <c r="Q106" s="97">
        <v>494</v>
      </c>
      <c r="R106" s="125"/>
      <c r="S106" s="106"/>
    </row>
    <row r="107" spans="1:19" ht="54">
      <c r="A107" s="92" t="s">
        <v>4848</v>
      </c>
      <c r="B107" s="1567" t="s">
        <v>4839</v>
      </c>
      <c r="C107" s="1567"/>
      <c r="D107" s="1567"/>
      <c r="E107" s="130">
        <v>814.87</v>
      </c>
      <c r="F107" s="132">
        <v>854.93</v>
      </c>
      <c r="G107" s="132">
        <v>879.25</v>
      </c>
      <c r="H107" s="132">
        <v>725.1</v>
      </c>
      <c r="I107" s="132">
        <v>713.22</v>
      </c>
      <c r="J107" s="132">
        <v>806.22</v>
      </c>
      <c r="K107" s="132">
        <v>778.09</v>
      </c>
      <c r="L107" s="132">
        <v>753.52</v>
      </c>
      <c r="M107" s="132">
        <v>816.62</v>
      </c>
      <c r="N107" s="132">
        <v>948.33</v>
      </c>
      <c r="O107" s="132">
        <v>998.26</v>
      </c>
      <c r="P107" s="132">
        <v>980.01</v>
      </c>
      <c r="Q107" s="97">
        <v>10068.42</v>
      </c>
      <c r="R107" s="125"/>
      <c r="S107" s="106"/>
    </row>
    <row r="108" spans="1:19" ht="20.25">
      <c r="A108" s="1564" t="s">
        <v>4850</v>
      </c>
      <c r="B108" s="1564"/>
      <c r="C108" s="1564"/>
      <c r="D108" s="1564"/>
      <c r="E108" s="1564"/>
      <c r="F108" s="1564"/>
      <c r="G108" s="1564"/>
      <c r="H108" s="1564"/>
      <c r="I108" s="1564"/>
      <c r="J108" s="1564"/>
      <c r="K108" s="1564"/>
      <c r="L108" s="1564"/>
      <c r="M108" s="1564"/>
      <c r="N108" s="1564"/>
      <c r="O108" s="1564"/>
      <c r="P108" s="1564"/>
      <c r="Q108" s="1564"/>
      <c r="R108" s="125"/>
      <c r="S108" s="106"/>
    </row>
    <row r="109" spans="1:19" ht="20.25">
      <c r="A109" s="1569" t="s">
        <v>1462</v>
      </c>
      <c r="B109" s="1569"/>
      <c r="C109" s="1566" t="s">
        <v>1463</v>
      </c>
      <c r="D109" s="1566" t="s">
        <v>1464</v>
      </c>
      <c r="E109" s="1569" t="s">
        <v>4851</v>
      </c>
      <c r="F109" s="1569"/>
      <c r="G109" s="1569"/>
      <c r="H109" s="1569"/>
      <c r="I109" s="1569"/>
      <c r="J109" s="1569"/>
      <c r="K109" s="1569"/>
      <c r="L109" s="1569"/>
      <c r="M109" s="1569"/>
      <c r="N109" s="1569"/>
      <c r="O109" s="1569"/>
      <c r="P109" s="1569"/>
      <c r="Q109" s="1566" t="s">
        <v>1466</v>
      </c>
      <c r="R109" s="1566" t="s">
        <v>4852</v>
      </c>
      <c r="S109" s="1566" t="s">
        <v>4853</v>
      </c>
    </row>
    <row r="110" spans="1:19" ht="20.25">
      <c r="A110" s="1569"/>
      <c r="B110" s="1569"/>
      <c r="C110" s="1566"/>
      <c r="D110" s="1574"/>
      <c r="E110" s="1569" t="s">
        <v>1467</v>
      </c>
      <c r="F110" s="1569"/>
      <c r="G110" s="1569"/>
      <c r="H110" s="1569" t="s">
        <v>1468</v>
      </c>
      <c r="I110" s="1569"/>
      <c r="J110" s="1569"/>
      <c r="K110" s="1569" t="s">
        <v>1469</v>
      </c>
      <c r="L110" s="1569"/>
      <c r="M110" s="1569"/>
      <c r="N110" s="1569" t="s">
        <v>1470</v>
      </c>
      <c r="O110" s="1569"/>
      <c r="P110" s="1569"/>
      <c r="Q110" s="1566"/>
      <c r="R110" s="1566"/>
      <c r="S110" s="1566"/>
    </row>
    <row r="111" spans="1:19" ht="20.25">
      <c r="A111" s="1569"/>
      <c r="B111" s="1569"/>
      <c r="C111" s="1566"/>
      <c r="D111" s="1574"/>
      <c r="E111" s="91" t="s">
        <v>1471</v>
      </c>
      <c r="F111" s="91" t="s">
        <v>1472</v>
      </c>
      <c r="G111" s="91" t="s">
        <v>1473</v>
      </c>
      <c r="H111" s="91" t="s">
        <v>1474</v>
      </c>
      <c r="I111" s="91" t="s">
        <v>1475</v>
      </c>
      <c r="J111" s="91" t="s">
        <v>1476</v>
      </c>
      <c r="K111" s="91" t="s">
        <v>1477</v>
      </c>
      <c r="L111" s="91" t="s">
        <v>1478</v>
      </c>
      <c r="M111" s="91" t="s">
        <v>1479</v>
      </c>
      <c r="N111" s="91" t="s">
        <v>1480</v>
      </c>
      <c r="O111" s="91" t="s">
        <v>1481</v>
      </c>
      <c r="P111" s="91" t="s">
        <v>4522</v>
      </c>
      <c r="Q111" s="1566"/>
      <c r="R111" s="1566"/>
      <c r="S111" s="1566"/>
    </row>
    <row r="112" spans="1:19" ht="18">
      <c r="A112" s="1566">
        <v>1</v>
      </c>
      <c r="B112" s="1566"/>
      <c r="C112" s="92">
        <v>2</v>
      </c>
      <c r="D112" s="92">
        <v>3</v>
      </c>
      <c r="E112" s="92">
        <v>4</v>
      </c>
      <c r="F112" s="92">
        <v>5</v>
      </c>
      <c r="G112" s="92">
        <v>6</v>
      </c>
      <c r="H112" s="92">
        <v>7</v>
      </c>
      <c r="I112" s="92">
        <v>8</v>
      </c>
      <c r="J112" s="92">
        <v>9</v>
      </c>
      <c r="K112" s="92">
        <v>10</v>
      </c>
      <c r="L112" s="92">
        <v>11</v>
      </c>
      <c r="M112" s="92">
        <v>12</v>
      </c>
      <c r="N112" s="92">
        <v>13</v>
      </c>
      <c r="O112" s="92">
        <v>14</v>
      </c>
      <c r="P112" s="92">
        <v>15</v>
      </c>
      <c r="Q112" s="92">
        <v>16</v>
      </c>
      <c r="R112" s="93">
        <v>18</v>
      </c>
      <c r="S112" s="113">
        <v>19</v>
      </c>
    </row>
    <row r="113" spans="1:19" ht="20.25">
      <c r="A113" s="1575" t="s">
        <v>4854</v>
      </c>
      <c r="B113" s="1575"/>
      <c r="C113" s="1575"/>
      <c r="D113" s="1575"/>
      <c r="E113" s="133">
        <v>4.7750000000000004</v>
      </c>
      <c r="F113" s="133">
        <v>4.6580000000000004</v>
      </c>
      <c r="G113" s="133">
        <v>4.5069999999999997</v>
      </c>
      <c r="H113" s="133">
        <v>3.3119999999999998</v>
      </c>
      <c r="I113" s="133">
        <v>3.1549999999999998</v>
      </c>
      <c r="J113" s="133">
        <v>3.0620000000000003</v>
      </c>
      <c r="K113" s="133">
        <v>3.26</v>
      </c>
      <c r="L113" s="133">
        <v>3.1739999999999999</v>
      </c>
      <c r="M113" s="133">
        <v>3.2069999999999999</v>
      </c>
      <c r="N113" s="133">
        <v>4.282</v>
      </c>
      <c r="O113" s="133">
        <v>4.875</v>
      </c>
      <c r="P113" s="133">
        <v>4.9329999999999998</v>
      </c>
      <c r="Q113" s="116">
        <v>3.9329999999999998</v>
      </c>
      <c r="R113" s="116">
        <v>13.6</v>
      </c>
      <c r="S113" s="116">
        <v>32</v>
      </c>
    </row>
    <row r="114" spans="1:19" ht="18">
      <c r="A114" s="1571" t="s">
        <v>4837</v>
      </c>
      <c r="B114" s="1572"/>
      <c r="C114" s="1572"/>
      <c r="D114" s="1572"/>
      <c r="E114" s="1572"/>
      <c r="F114" s="1572"/>
      <c r="G114" s="1572"/>
      <c r="H114" s="1572"/>
      <c r="I114" s="1572"/>
      <c r="J114" s="1572"/>
      <c r="K114" s="1572"/>
      <c r="L114" s="1572"/>
      <c r="M114" s="1572"/>
      <c r="N114" s="1572"/>
      <c r="O114" s="1572"/>
      <c r="P114" s="1572"/>
      <c r="Q114" s="1572"/>
      <c r="R114" s="1572"/>
      <c r="S114" s="1573"/>
    </row>
    <row r="115" spans="1:19" ht="36">
      <c r="A115" s="92" t="s">
        <v>4846</v>
      </c>
      <c r="B115" s="1567" t="s">
        <v>4855</v>
      </c>
      <c r="C115" s="1567"/>
      <c r="D115" s="1567"/>
      <c r="E115" s="135">
        <v>0</v>
      </c>
      <c r="F115" s="135">
        <v>0</v>
      </c>
      <c r="G115" s="135">
        <v>0</v>
      </c>
      <c r="H115" s="135">
        <v>0</v>
      </c>
      <c r="I115" s="135">
        <v>0</v>
      </c>
      <c r="J115" s="135">
        <v>0</v>
      </c>
      <c r="K115" s="135">
        <v>0</v>
      </c>
      <c r="L115" s="135">
        <v>0</v>
      </c>
      <c r="M115" s="135">
        <v>0</v>
      </c>
      <c r="N115" s="135">
        <v>0</v>
      </c>
      <c r="O115" s="135">
        <v>0</v>
      </c>
      <c r="P115" s="135">
        <v>0</v>
      </c>
      <c r="Q115" s="116">
        <v>0</v>
      </c>
      <c r="R115" s="136"/>
      <c r="S115" s="121"/>
    </row>
    <row r="116" spans="1:19" ht="18">
      <c r="A116" s="92" t="s">
        <v>4847</v>
      </c>
      <c r="B116" s="1567" t="s">
        <v>4855</v>
      </c>
      <c r="C116" s="1567"/>
      <c r="D116" s="1567"/>
      <c r="E116" s="135">
        <v>6.8000000000000005E-2</v>
      </c>
      <c r="F116" s="135">
        <v>7.0000000000000007E-2</v>
      </c>
      <c r="G116" s="135">
        <v>6.7000000000000004E-2</v>
      </c>
      <c r="H116" s="135">
        <v>6.0999999999999999E-2</v>
      </c>
      <c r="I116" s="135">
        <v>5.6000000000000001E-2</v>
      </c>
      <c r="J116" s="135">
        <v>5.7000000000000002E-2</v>
      </c>
      <c r="K116" s="135">
        <v>6.0999999999999999E-2</v>
      </c>
      <c r="L116" s="135">
        <v>6.0999999999999999E-2</v>
      </c>
      <c r="M116" s="135">
        <v>5.7000000000000002E-2</v>
      </c>
      <c r="N116" s="135">
        <v>5.8999999999999997E-2</v>
      </c>
      <c r="O116" s="135">
        <v>6.0999999999999999E-2</v>
      </c>
      <c r="P116" s="135">
        <v>6.8000000000000005E-2</v>
      </c>
      <c r="Q116" s="116">
        <v>6.2E-2</v>
      </c>
      <c r="R116" s="136"/>
      <c r="S116" s="121"/>
    </row>
    <row r="117" spans="1:19" ht="54">
      <c r="A117" s="92" t="s">
        <v>4848</v>
      </c>
      <c r="B117" s="1567" t="s">
        <v>4855</v>
      </c>
      <c r="C117" s="1567"/>
      <c r="D117" s="1567"/>
      <c r="E117" s="135">
        <v>1.423</v>
      </c>
      <c r="F117" s="135">
        <v>1.653</v>
      </c>
      <c r="G117" s="135">
        <v>1.536</v>
      </c>
      <c r="H117" s="135">
        <v>1.3089999999999999</v>
      </c>
      <c r="I117" s="135">
        <v>1.246</v>
      </c>
      <c r="J117" s="135">
        <v>1.4550000000000001</v>
      </c>
      <c r="K117" s="135">
        <v>1.359</v>
      </c>
      <c r="L117" s="135">
        <v>1.3160000000000001</v>
      </c>
      <c r="M117" s="135">
        <v>1.474</v>
      </c>
      <c r="N117" s="135">
        <v>1.657</v>
      </c>
      <c r="O117" s="135">
        <v>1.802</v>
      </c>
      <c r="P117" s="135">
        <v>1.712</v>
      </c>
      <c r="Q117" s="116">
        <v>1.4950000000000001</v>
      </c>
      <c r="R117" s="136"/>
      <c r="S117" s="121"/>
    </row>
    <row r="118" spans="1:19" ht="18">
      <c r="A118" s="137" t="s">
        <v>4844</v>
      </c>
      <c r="B118" s="1567" t="s">
        <v>4855</v>
      </c>
      <c r="C118" s="1567"/>
      <c r="D118" s="1567"/>
      <c r="E118" s="138">
        <v>3.2839999999999998</v>
      </c>
      <c r="F118" s="138">
        <v>2.9350000000000001</v>
      </c>
      <c r="G118" s="138">
        <v>2.9039999999999999</v>
      </c>
      <c r="H118" s="138">
        <v>1.9419999999999999</v>
      </c>
      <c r="I118" s="138">
        <v>1.853</v>
      </c>
      <c r="J118" s="138">
        <v>1.55</v>
      </c>
      <c r="K118" s="138">
        <v>1.84</v>
      </c>
      <c r="L118" s="138">
        <v>1.7969999999999999</v>
      </c>
      <c r="M118" s="138">
        <v>1.6759999999999999</v>
      </c>
      <c r="N118" s="138">
        <v>2.5659999999999998</v>
      </c>
      <c r="O118" s="138">
        <v>3.012</v>
      </c>
      <c r="P118" s="138">
        <v>3.153</v>
      </c>
      <c r="Q118" s="116">
        <v>2.3759999999999999</v>
      </c>
      <c r="R118" s="139"/>
      <c r="S118" s="139"/>
    </row>
    <row r="119" spans="1:19" s="143" customFormat="1" ht="21" customHeight="1">
      <c r="A119" s="140"/>
      <c r="B119" s="140"/>
      <c r="C119" s="141"/>
      <c r="D119" s="140"/>
      <c r="E119" s="140"/>
      <c r="F119" s="140"/>
      <c r="G119" s="140"/>
      <c r="H119" s="140"/>
      <c r="I119" s="140"/>
      <c r="J119" s="140"/>
      <c r="K119" s="140"/>
      <c r="L119" s="140"/>
      <c r="M119" s="140"/>
      <c r="N119" s="140"/>
      <c r="O119" s="140"/>
      <c r="P119" s="140"/>
      <c r="Q119" s="142"/>
      <c r="R119" s="142"/>
      <c r="S119" s="142"/>
    </row>
    <row r="120" spans="1:19" ht="26.25">
      <c r="A120" s="1562" t="s">
        <v>1994</v>
      </c>
      <c r="B120" s="1562"/>
      <c r="C120" s="1562"/>
      <c r="D120" s="1562"/>
      <c r="E120" s="1562"/>
      <c r="F120" s="1562"/>
      <c r="G120" s="1562"/>
      <c r="H120" s="1562"/>
      <c r="I120" s="1562"/>
      <c r="J120" s="1562"/>
      <c r="K120" s="1562"/>
      <c r="L120" s="1562"/>
      <c r="M120" s="1562"/>
      <c r="N120" s="1562"/>
      <c r="O120" s="1562"/>
      <c r="P120" s="1562"/>
      <c r="Q120" s="1562"/>
      <c r="R120" s="1562"/>
      <c r="S120" s="1562"/>
    </row>
    <row r="121" spans="1:19" ht="26.25">
      <c r="A121" s="1563" t="s">
        <v>1459</v>
      </c>
      <c r="B121" s="1563"/>
      <c r="C121" s="1563"/>
      <c r="D121" s="1563"/>
      <c r="E121" s="1563"/>
      <c r="F121" s="1563"/>
      <c r="G121" s="1563"/>
      <c r="H121" s="1563"/>
      <c r="I121" s="1563"/>
      <c r="J121" s="1563"/>
      <c r="K121" s="1563"/>
      <c r="L121" s="1563"/>
      <c r="M121" s="1563"/>
      <c r="N121" s="1563"/>
      <c r="O121" s="1563"/>
      <c r="P121" s="1563"/>
      <c r="Q121" s="1563"/>
      <c r="R121" s="1563"/>
      <c r="S121" s="1563"/>
    </row>
    <row r="122" spans="1:19" customFormat="1" ht="27.75" customHeight="1">
      <c r="A122" s="1594" t="s">
        <v>1460</v>
      </c>
      <c r="B122" s="1594"/>
      <c r="C122" s="1594"/>
      <c r="D122" s="1594"/>
      <c r="E122" s="1594"/>
      <c r="F122" s="1594"/>
      <c r="G122" s="1594"/>
      <c r="H122" s="1594"/>
      <c r="I122" s="1594"/>
      <c r="J122" s="1594"/>
      <c r="K122" s="1594"/>
      <c r="L122" s="1594"/>
      <c r="M122" s="1594"/>
      <c r="N122" s="1594"/>
      <c r="O122" s="1594"/>
      <c r="P122" s="1594"/>
      <c r="Q122" s="144"/>
      <c r="R122" s="144"/>
      <c r="S122" s="144"/>
    </row>
    <row r="123" spans="1:19" customFormat="1" ht="24.95" customHeight="1">
      <c r="A123" s="1592" t="s">
        <v>1461</v>
      </c>
      <c r="B123" s="1592"/>
      <c r="C123" s="1592"/>
      <c r="D123" s="1592"/>
      <c r="E123" s="145"/>
      <c r="F123" s="145"/>
      <c r="G123" s="145"/>
      <c r="H123" s="145"/>
      <c r="I123" s="145"/>
      <c r="J123" s="145"/>
      <c r="K123" s="145"/>
      <c r="L123" s="145"/>
      <c r="M123" s="145"/>
      <c r="N123" s="145"/>
      <c r="O123" s="145"/>
      <c r="P123" s="145"/>
      <c r="Q123" s="144"/>
      <c r="R123" s="144"/>
      <c r="S123" s="144"/>
    </row>
    <row r="124" spans="1:19" s="146" customFormat="1" ht="46.5" customHeight="1">
      <c r="A124" s="1590" t="s">
        <v>1462</v>
      </c>
      <c r="B124" s="1590"/>
      <c r="C124" s="1582" t="s">
        <v>1463</v>
      </c>
      <c r="D124" s="1582" t="s">
        <v>1464</v>
      </c>
      <c r="E124" s="1590" t="s">
        <v>1465</v>
      </c>
      <c r="F124" s="1590"/>
      <c r="G124" s="1590"/>
      <c r="H124" s="1590"/>
      <c r="I124" s="1590"/>
      <c r="J124" s="1590"/>
      <c r="K124" s="1590"/>
      <c r="L124" s="1590"/>
      <c r="M124" s="1590"/>
      <c r="N124" s="1590"/>
      <c r="O124" s="1590"/>
      <c r="P124" s="1590"/>
      <c r="Q124" s="1582" t="s">
        <v>1466</v>
      </c>
      <c r="R124" s="1591"/>
      <c r="S124" s="1591"/>
    </row>
    <row r="125" spans="1:19" s="146" customFormat="1" ht="60" customHeight="1">
      <c r="A125" s="1590"/>
      <c r="B125" s="1590"/>
      <c r="C125" s="1582"/>
      <c r="D125" s="1583"/>
      <c r="E125" s="1590" t="s">
        <v>1467</v>
      </c>
      <c r="F125" s="1590"/>
      <c r="G125" s="1590"/>
      <c r="H125" s="1590" t="s">
        <v>1468</v>
      </c>
      <c r="I125" s="1590"/>
      <c r="J125" s="1590"/>
      <c r="K125" s="1590" t="s">
        <v>1469</v>
      </c>
      <c r="L125" s="1590"/>
      <c r="M125" s="1590"/>
      <c r="N125" s="1590" t="s">
        <v>1470</v>
      </c>
      <c r="O125" s="1590"/>
      <c r="P125" s="1590"/>
      <c r="Q125" s="1582"/>
      <c r="R125" s="1591"/>
      <c r="S125" s="1591"/>
    </row>
    <row r="126" spans="1:19" s="146" customFormat="1" ht="31.5" customHeight="1">
      <c r="A126" s="1590"/>
      <c r="B126" s="1590"/>
      <c r="C126" s="1582"/>
      <c r="D126" s="1583"/>
      <c r="E126" s="147" t="s">
        <v>1471</v>
      </c>
      <c r="F126" s="147" t="s">
        <v>1472</v>
      </c>
      <c r="G126" s="147" t="s">
        <v>1473</v>
      </c>
      <c r="H126" s="147" t="s">
        <v>1474</v>
      </c>
      <c r="I126" s="147" t="s">
        <v>1475</v>
      </c>
      <c r="J126" s="147" t="s">
        <v>1476</v>
      </c>
      <c r="K126" s="147" t="s">
        <v>1477</v>
      </c>
      <c r="L126" s="147" t="s">
        <v>1478</v>
      </c>
      <c r="M126" s="147" t="s">
        <v>1479</v>
      </c>
      <c r="N126" s="147" t="s">
        <v>1480</v>
      </c>
      <c r="O126" s="147" t="s">
        <v>1481</v>
      </c>
      <c r="P126" s="147" t="s">
        <v>4522</v>
      </c>
      <c r="Q126" s="1582"/>
      <c r="R126" s="1591"/>
      <c r="S126" s="1591"/>
    </row>
    <row r="127" spans="1:19" s="146" customFormat="1" ht="18" customHeight="1">
      <c r="A127" s="148">
        <v>1</v>
      </c>
      <c r="B127" s="148">
        <v>2</v>
      </c>
      <c r="C127" s="148">
        <v>3</v>
      </c>
      <c r="D127" s="148">
        <v>4</v>
      </c>
      <c r="E127" s="149">
        <v>5</v>
      </c>
      <c r="F127" s="149">
        <v>6</v>
      </c>
      <c r="G127" s="149">
        <v>7</v>
      </c>
      <c r="H127" s="149">
        <v>8</v>
      </c>
      <c r="I127" s="149">
        <v>9</v>
      </c>
      <c r="J127" s="149">
        <v>10</v>
      </c>
      <c r="K127" s="149">
        <v>11</v>
      </c>
      <c r="L127" s="149">
        <v>12</v>
      </c>
      <c r="M127" s="149">
        <v>13</v>
      </c>
      <c r="N127" s="149">
        <v>14</v>
      </c>
      <c r="O127" s="149">
        <v>15</v>
      </c>
      <c r="P127" s="149">
        <v>16</v>
      </c>
      <c r="Q127" s="149">
        <v>17</v>
      </c>
      <c r="R127" s="150"/>
      <c r="S127" s="151"/>
    </row>
    <row r="128" spans="1:19" s="146" customFormat="1" ht="60" customHeight="1">
      <c r="A128" s="1584" t="s">
        <v>4836</v>
      </c>
      <c r="B128" s="1584"/>
      <c r="C128" s="1584"/>
      <c r="D128" s="1584"/>
      <c r="E128" s="152">
        <f>E136+E137+E138+E139</f>
        <v>13483.472</v>
      </c>
      <c r="F128" s="152">
        <f t="shared" ref="F128:P128" si="0">F136+F137+F138+F139</f>
        <v>14170.269</v>
      </c>
      <c r="G128" s="152">
        <f t="shared" si="0"/>
        <v>13892.436</v>
      </c>
      <c r="H128" s="152">
        <f t="shared" si="0"/>
        <v>13749.335000000001</v>
      </c>
      <c r="I128" s="152">
        <f t="shared" si="0"/>
        <v>11939.853000000001</v>
      </c>
      <c r="J128" s="152">
        <f t="shared" si="0"/>
        <v>10328.633</v>
      </c>
      <c r="K128" s="152">
        <f t="shared" si="0"/>
        <v>11380.415000000001</v>
      </c>
      <c r="L128" s="152">
        <f t="shared" si="0"/>
        <v>9473.3029999999999</v>
      </c>
      <c r="M128" s="152">
        <f t="shared" si="0"/>
        <v>6210.7070000000003</v>
      </c>
      <c r="N128" s="152">
        <f t="shared" si="0"/>
        <v>11703.081000000002</v>
      </c>
      <c r="O128" s="152">
        <f t="shared" si="0"/>
        <v>12349.636</v>
      </c>
      <c r="P128" s="152">
        <f t="shared" si="0"/>
        <v>13752.281000000001</v>
      </c>
      <c r="Q128" s="153">
        <f>SUM(E128:P128)</f>
        <v>142433.421</v>
      </c>
      <c r="R128" s="154"/>
      <c r="S128" s="151"/>
    </row>
    <row r="129" spans="1:19" s="146" customFormat="1" ht="27" customHeight="1">
      <c r="A129" s="1586" t="s">
        <v>4837</v>
      </c>
      <c r="B129" s="1587"/>
      <c r="C129" s="1587"/>
      <c r="D129" s="1587"/>
      <c r="E129" s="1587"/>
      <c r="F129" s="1587"/>
      <c r="G129" s="1587"/>
      <c r="H129" s="1587"/>
      <c r="I129" s="1587"/>
      <c r="J129" s="1587"/>
      <c r="K129" s="1587"/>
      <c r="L129" s="1587"/>
      <c r="M129" s="1587"/>
      <c r="N129" s="1587"/>
      <c r="O129" s="1587"/>
      <c r="P129" s="1587"/>
      <c r="Q129" s="1588"/>
      <c r="R129" s="155"/>
      <c r="S129" s="155"/>
    </row>
    <row r="130" spans="1:19" s="146" customFormat="1" ht="50.1" customHeight="1">
      <c r="A130" s="156" t="s">
        <v>4838</v>
      </c>
      <c r="B130" s="148" t="s">
        <v>4839</v>
      </c>
      <c r="C130" s="148" t="s">
        <v>4840</v>
      </c>
      <c r="D130" s="148" t="s">
        <v>4841</v>
      </c>
      <c r="E130" s="157">
        <f>E128+E131+E132+E133+E134</f>
        <v>31756.828999999998</v>
      </c>
      <c r="F130" s="157">
        <f t="shared" ref="F130:P130" si="1">F128+F131+F132+F133+F134</f>
        <v>36430.493000000002</v>
      </c>
      <c r="G130" s="157">
        <f t="shared" si="1"/>
        <v>33617.428</v>
      </c>
      <c r="H130" s="157">
        <f t="shared" si="1"/>
        <v>27414.463</v>
      </c>
      <c r="I130" s="157">
        <f t="shared" si="1"/>
        <v>29762.521000000001</v>
      </c>
      <c r="J130" s="157">
        <f t="shared" si="1"/>
        <v>32063.954000000002</v>
      </c>
      <c r="K130" s="157">
        <f t="shared" si="1"/>
        <v>41559.706000000006</v>
      </c>
      <c r="L130" s="157">
        <f t="shared" si="1"/>
        <v>32583.212</v>
      </c>
      <c r="M130" s="157">
        <f t="shared" si="1"/>
        <v>27519.944000000003</v>
      </c>
      <c r="N130" s="157">
        <f t="shared" si="1"/>
        <v>33827.948000000004</v>
      </c>
      <c r="O130" s="157">
        <f t="shared" si="1"/>
        <v>30386.085999999999</v>
      </c>
      <c r="P130" s="157">
        <f t="shared" si="1"/>
        <v>39401.505000000005</v>
      </c>
      <c r="Q130" s="158">
        <f>SUM(E130:P130)</f>
        <v>396324.08900000004</v>
      </c>
      <c r="R130" s="159"/>
      <c r="S130" s="160"/>
    </row>
    <row r="131" spans="1:19" s="146" customFormat="1" ht="50.1" customHeight="1">
      <c r="A131" s="156" t="s">
        <v>4838</v>
      </c>
      <c r="B131" s="148" t="s">
        <v>4839</v>
      </c>
      <c r="C131" s="148" t="s">
        <v>4840</v>
      </c>
      <c r="D131" s="148" t="s">
        <v>4842</v>
      </c>
      <c r="E131" s="161">
        <v>4912.83</v>
      </c>
      <c r="F131" s="157">
        <v>7968.4560000000001</v>
      </c>
      <c r="G131" s="157">
        <v>6427.39</v>
      </c>
      <c r="H131" s="157">
        <v>2694.86</v>
      </c>
      <c r="I131" s="157">
        <v>6716.53</v>
      </c>
      <c r="J131" s="157">
        <v>9686.7900000000009</v>
      </c>
      <c r="K131" s="157">
        <v>17302.29</v>
      </c>
      <c r="L131" s="157">
        <v>9987.5499999999993</v>
      </c>
      <c r="M131" s="157">
        <v>9550.2800000000007</v>
      </c>
      <c r="N131" s="157">
        <v>10002.450000000001</v>
      </c>
      <c r="O131" s="157">
        <v>6621.38</v>
      </c>
      <c r="P131" s="157">
        <v>10740.19</v>
      </c>
      <c r="Q131" s="162">
        <f>SUM(E131:P131)</f>
        <v>102610.996</v>
      </c>
      <c r="R131" s="163"/>
      <c r="S131" s="164"/>
    </row>
    <row r="132" spans="1:19" s="171" customFormat="1" ht="50.1" customHeight="1">
      <c r="A132" s="165" t="s">
        <v>4843</v>
      </c>
      <c r="B132" s="165" t="s">
        <v>4839</v>
      </c>
      <c r="C132" s="148" t="s">
        <v>4840</v>
      </c>
      <c r="D132" s="165" t="s">
        <v>4842</v>
      </c>
      <c r="E132" s="166">
        <v>5282.027</v>
      </c>
      <c r="F132" s="167">
        <v>5624.768</v>
      </c>
      <c r="G132" s="167">
        <v>5153.6019999999999</v>
      </c>
      <c r="H132" s="167">
        <v>4328.5680000000002</v>
      </c>
      <c r="I132" s="167">
        <v>4444.3379999999997</v>
      </c>
      <c r="J132" s="167">
        <v>4833.2809999999999</v>
      </c>
      <c r="K132" s="167">
        <v>5256.0010000000002</v>
      </c>
      <c r="L132" s="167">
        <v>5189.8590000000004</v>
      </c>
      <c r="M132" s="167">
        <v>4153.4570000000003</v>
      </c>
      <c r="N132" s="167">
        <v>4655.4170000000004</v>
      </c>
      <c r="O132" s="167">
        <v>3742.32</v>
      </c>
      <c r="P132" s="167">
        <v>5730.5339999999997</v>
      </c>
      <c r="Q132" s="168">
        <f>SUM(E132:P132)</f>
        <v>58394.172000000006</v>
      </c>
      <c r="R132" s="169"/>
      <c r="S132" s="170"/>
    </row>
    <row r="133" spans="1:19" s="171" customFormat="1" ht="50.1" customHeight="1">
      <c r="A133" s="165" t="s">
        <v>1995</v>
      </c>
      <c r="B133" s="165" t="s">
        <v>4839</v>
      </c>
      <c r="C133" s="148" t="s">
        <v>4840</v>
      </c>
      <c r="D133" s="165" t="s">
        <v>4842</v>
      </c>
      <c r="E133" s="166">
        <v>678.5</v>
      </c>
      <c r="F133" s="167">
        <v>667</v>
      </c>
      <c r="G133" s="167">
        <v>644</v>
      </c>
      <c r="H133" s="167">
        <v>641.69999999999993</v>
      </c>
      <c r="I133" s="167">
        <v>611.79999999999995</v>
      </c>
      <c r="J133" s="167">
        <v>615.25</v>
      </c>
      <c r="K133" s="167">
        <v>621</v>
      </c>
      <c r="L133" s="167">
        <v>632.5</v>
      </c>
      <c r="M133" s="167">
        <v>655.5</v>
      </c>
      <c r="N133" s="167">
        <v>667</v>
      </c>
      <c r="O133" s="167">
        <v>672.75</v>
      </c>
      <c r="P133" s="167">
        <v>678.5</v>
      </c>
      <c r="Q133" s="168">
        <f>SUM(E133:P133)</f>
        <v>7785.5</v>
      </c>
      <c r="R133" s="169"/>
      <c r="S133" s="170"/>
    </row>
    <row r="134" spans="1:19" s="146" customFormat="1" ht="50.1" customHeight="1">
      <c r="A134" s="148" t="s">
        <v>4844</v>
      </c>
      <c r="B134" s="148" t="s">
        <v>4839</v>
      </c>
      <c r="C134" s="148" t="s">
        <v>4840</v>
      </c>
      <c r="D134" s="148" t="s">
        <v>4842</v>
      </c>
      <c r="E134" s="161">
        <v>7400</v>
      </c>
      <c r="F134" s="157">
        <v>8000</v>
      </c>
      <c r="G134" s="157">
        <v>7500</v>
      </c>
      <c r="H134" s="157">
        <v>6000</v>
      </c>
      <c r="I134" s="157">
        <v>6050</v>
      </c>
      <c r="J134" s="157">
        <v>6600</v>
      </c>
      <c r="K134" s="157">
        <v>7000</v>
      </c>
      <c r="L134" s="157">
        <v>7300</v>
      </c>
      <c r="M134" s="157">
        <v>6950</v>
      </c>
      <c r="N134" s="157">
        <v>6800</v>
      </c>
      <c r="O134" s="157">
        <v>7000</v>
      </c>
      <c r="P134" s="157">
        <v>8500</v>
      </c>
      <c r="Q134" s="162">
        <f>SUM(E134:P134)</f>
        <v>85100</v>
      </c>
      <c r="R134" s="163"/>
      <c r="S134" s="164"/>
    </row>
    <row r="135" spans="1:19" s="146" customFormat="1" ht="39.950000000000003" customHeight="1">
      <c r="A135" s="1589" t="s">
        <v>4845</v>
      </c>
      <c r="B135" s="1589"/>
      <c r="C135" s="1589"/>
      <c r="D135" s="1589"/>
      <c r="E135" s="1589"/>
      <c r="F135" s="1589"/>
      <c r="G135" s="1589"/>
      <c r="H135" s="1589"/>
      <c r="I135" s="1589"/>
      <c r="J135" s="1589"/>
      <c r="K135" s="1589"/>
      <c r="L135" s="1589"/>
      <c r="M135" s="1589"/>
      <c r="N135" s="1589"/>
      <c r="O135" s="1589"/>
      <c r="P135" s="1589"/>
      <c r="Q135" s="1589"/>
      <c r="R135" s="163"/>
      <c r="S135" s="164"/>
    </row>
    <row r="136" spans="1:19" s="146" customFormat="1" ht="36.75" customHeight="1">
      <c r="A136" s="148" t="s">
        <v>4846</v>
      </c>
      <c r="B136" s="1585" t="s">
        <v>4839</v>
      </c>
      <c r="C136" s="1585"/>
      <c r="D136" s="1585"/>
      <c r="E136" s="157">
        <v>685.27</v>
      </c>
      <c r="F136" s="157">
        <v>775.37</v>
      </c>
      <c r="G136" s="157">
        <v>1301.5999999999999</v>
      </c>
      <c r="H136" s="157">
        <v>1615.17</v>
      </c>
      <c r="I136" s="157">
        <v>1621.03</v>
      </c>
      <c r="J136" s="157">
        <v>1332.29</v>
      </c>
      <c r="K136" s="157">
        <v>1422.64</v>
      </c>
      <c r="L136" s="172">
        <v>1112.48</v>
      </c>
      <c r="M136" s="157">
        <v>850</v>
      </c>
      <c r="N136" s="157">
        <v>1457.15</v>
      </c>
      <c r="O136" s="157">
        <v>1378.36</v>
      </c>
      <c r="P136" s="157">
        <v>1160.67</v>
      </c>
      <c r="Q136" s="162">
        <f>SUM(E136:P136)</f>
        <v>14712.029999999999</v>
      </c>
      <c r="R136" s="163"/>
      <c r="S136" s="164"/>
    </row>
    <row r="137" spans="1:19" s="146" customFormat="1" ht="38.25" customHeight="1">
      <c r="A137" s="148" t="s">
        <v>4847</v>
      </c>
      <c r="B137" s="1585" t="s">
        <v>4839</v>
      </c>
      <c r="C137" s="1585"/>
      <c r="D137" s="1585"/>
      <c r="E137" s="157">
        <v>655.20000000000005</v>
      </c>
      <c r="F137" s="157">
        <v>685.9</v>
      </c>
      <c r="G137" s="157">
        <v>675.7</v>
      </c>
      <c r="H137" s="157">
        <v>665.4</v>
      </c>
      <c r="I137" s="157">
        <v>553.20000000000005</v>
      </c>
      <c r="J137" s="157">
        <v>461.3</v>
      </c>
      <c r="K137" s="157">
        <v>522.6</v>
      </c>
      <c r="L137" s="157">
        <v>410.3</v>
      </c>
      <c r="M137" s="157">
        <v>215.4</v>
      </c>
      <c r="N137" s="157">
        <v>603.20000000000005</v>
      </c>
      <c r="O137" s="157">
        <v>582.79999999999995</v>
      </c>
      <c r="P137" s="157">
        <v>664.4</v>
      </c>
      <c r="Q137" s="162">
        <f>SUM(E137:P137)</f>
        <v>6695.4</v>
      </c>
      <c r="R137" s="163"/>
      <c r="S137" s="164"/>
    </row>
    <row r="138" spans="1:19" s="146" customFormat="1" ht="50.1" customHeight="1">
      <c r="A138" s="148" t="s">
        <v>4848</v>
      </c>
      <c r="B138" s="1585" t="s">
        <v>4839</v>
      </c>
      <c r="C138" s="1585"/>
      <c r="D138" s="1585"/>
      <c r="E138" s="157">
        <v>702.202</v>
      </c>
      <c r="F138" s="157">
        <v>738.19899999999996</v>
      </c>
      <c r="G138" s="157">
        <v>705.03599999999994</v>
      </c>
      <c r="H138" s="157">
        <v>632.66499999999996</v>
      </c>
      <c r="I138" s="157">
        <v>614.02300000000002</v>
      </c>
      <c r="J138" s="157">
        <v>610.64300000000003</v>
      </c>
      <c r="K138" s="157">
        <v>627.07500000000005</v>
      </c>
      <c r="L138" s="157">
        <v>630.923</v>
      </c>
      <c r="M138" s="157">
        <v>620.10699999999997</v>
      </c>
      <c r="N138" s="157">
        <v>661.03099999999995</v>
      </c>
      <c r="O138" s="157">
        <v>674.87599999999998</v>
      </c>
      <c r="P138" s="157">
        <v>728.11099999999999</v>
      </c>
      <c r="Q138" s="162">
        <f>SUM(E138:P138)</f>
        <v>7944.8909999999996</v>
      </c>
      <c r="R138" s="163"/>
      <c r="S138" s="164"/>
    </row>
    <row r="139" spans="1:19" s="171" customFormat="1" ht="57" customHeight="1">
      <c r="A139" s="173" t="s">
        <v>4849</v>
      </c>
      <c r="B139" s="1596" t="s">
        <v>4839</v>
      </c>
      <c r="C139" s="1596"/>
      <c r="D139" s="1596"/>
      <c r="E139" s="172">
        <v>11440.8</v>
      </c>
      <c r="F139" s="172">
        <v>11970.8</v>
      </c>
      <c r="G139" s="172">
        <v>11210.1</v>
      </c>
      <c r="H139" s="172">
        <v>10836.1</v>
      </c>
      <c r="I139" s="172">
        <v>9151.6</v>
      </c>
      <c r="J139" s="172">
        <v>7924.4</v>
      </c>
      <c r="K139" s="172">
        <v>8808.1</v>
      </c>
      <c r="L139" s="172">
        <v>7319.6</v>
      </c>
      <c r="M139" s="172">
        <v>4525.2</v>
      </c>
      <c r="N139" s="172">
        <v>8981.7000000000007</v>
      </c>
      <c r="O139" s="172">
        <v>9713.6</v>
      </c>
      <c r="P139" s="172">
        <v>11199.1</v>
      </c>
      <c r="Q139" s="174">
        <f>SUM(E139:P139)</f>
        <v>113081.1</v>
      </c>
      <c r="R139" s="169"/>
      <c r="S139" s="170"/>
    </row>
    <row r="140" spans="1:19" s="146" customFormat="1" ht="29.25" customHeight="1">
      <c r="A140" s="1594" t="s">
        <v>4850</v>
      </c>
      <c r="B140" s="1594"/>
      <c r="C140" s="1594"/>
      <c r="D140" s="1594"/>
      <c r="E140" s="1594"/>
      <c r="F140" s="1594"/>
      <c r="G140" s="1594"/>
      <c r="H140" s="1594"/>
      <c r="I140" s="1594"/>
      <c r="J140" s="1594"/>
      <c r="K140" s="1594"/>
      <c r="L140" s="1594"/>
      <c r="M140" s="1594"/>
      <c r="N140" s="1594"/>
      <c r="O140" s="1594"/>
      <c r="P140" s="1594"/>
      <c r="Q140" s="1594"/>
      <c r="R140" s="163"/>
      <c r="S140" s="164"/>
    </row>
    <row r="141" spans="1:19" s="146" customFormat="1" ht="50.1" customHeight="1">
      <c r="A141" s="1590" t="s">
        <v>1462</v>
      </c>
      <c r="B141" s="1590"/>
      <c r="C141" s="1582" t="s">
        <v>1463</v>
      </c>
      <c r="D141" s="1582" t="s">
        <v>1464</v>
      </c>
      <c r="E141" s="1590" t="s">
        <v>4851</v>
      </c>
      <c r="F141" s="1590"/>
      <c r="G141" s="1590"/>
      <c r="H141" s="1590"/>
      <c r="I141" s="1590"/>
      <c r="J141" s="1590"/>
      <c r="K141" s="1590"/>
      <c r="L141" s="1590"/>
      <c r="M141" s="1590"/>
      <c r="N141" s="1590"/>
      <c r="O141" s="1590"/>
      <c r="P141" s="1590"/>
      <c r="Q141" s="1582" t="s">
        <v>1466</v>
      </c>
      <c r="R141" s="1582" t="s">
        <v>4852</v>
      </c>
      <c r="S141" s="1582" t="s">
        <v>4853</v>
      </c>
    </row>
    <row r="142" spans="1:19" s="146" customFormat="1" ht="50.1" customHeight="1">
      <c r="A142" s="1590"/>
      <c r="B142" s="1590"/>
      <c r="C142" s="1582"/>
      <c r="D142" s="1583"/>
      <c r="E142" s="1590" t="s">
        <v>1467</v>
      </c>
      <c r="F142" s="1590"/>
      <c r="G142" s="1590"/>
      <c r="H142" s="1590" t="s">
        <v>1468</v>
      </c>
      <c r="I142" s="1590"/>
      <c r="J142" s="1590"/>
      <c r="K142" s="1590" t="s">
        <v>1469</v>
      </c>
      <c r="L142" s="1590"/>
      <c r="M142" s="1590"/>
      <c r="N142" s="1590" t="s">
        <v>1470</v>
      </c>
      <c r="O142" s="1590"/>
      <c r="P142" s="1590"/>
      <c r="Q142" s="1582"/>
      <c r="R142" s="1582"/>
      <c r="S142" s="1582"/>
    </row>
    <row r="143" spans="1:19" s="146" customFormat="1" ht="50.1" customHeight="1">
      <c r="A143" s="1590"/>
      <c r="B143" s="1590"/>
      <c r="C143" s="1582"/>
      <c r="D143" s="1583"/>
      <c r="E143" s="147" t="s">
        <v>1471</v>
      </c>
      <c r="F143" s="147" t="s">
        <v>1472</v>
      </c>
      <c r="G143" s="147" t="s">
        <v>1473</v>
      </c>
      <c r="H143" s="147" t="s">
        <v>1474</v>
      </c>
      <c r="I143" s="147" t="s">
        <v>1475</v>
      </c>
      <c r="J143" s="147" t="s">
        <v>1476</v>
      </c>
      <c r="K143" s="147" t="s">
        <v>1477</v>
      </c>
      <c r="L143" s="147" t="s">
        <v>1478</v>
      </c>
      <c r="M143" s="147" t="s">
        <v>1479</v>
      </c>
      <c r="N143" s="147" t="s">
        <v>1480</v>
      </c>
      <c r="O143" s="147" t="s">
        <v>1481</v>
      </c>
      <c r="P143" s="147" t="s">
        <v>4522</v>
      </c>
      <c r="Q143" s="1582"/>
      <c r="R143" s="1582"/>
      <c r="S143" s="1582"/>
    </row>
    <row r="144" spans="1:19" s="146" customFormat="1" ht="18" customHeight="1">
      <c r="A144" s="1582">
        <v>1</v>
      </c>
      <c r="B144" s="1582"/>
      <c r="C144" s="148">
        <v>2</v>
      </c>
      <c r="D144" s="148">
        <v>3</v>
      </c>
      <c r="E144" s="148">
        <v>4</v>
      </c>
      <c r="F144" s="148">
        <v>5</v>
      </c>
      <c r="G144" s="148">
        <v>6</v>
      </c>
      <c r="H144" s="148">
        <v>7</v>
      </c>
      <c r="I144" s="148">
        <v>8</v>
      </c>
      <c r="J144" s="148">
        <v>9</v>
      </c>
      <c r="K144" s="148">
        <v>10</v>
      </c>
      <c r="L144" s="148">
        <v>11</v>
      </c>
      <c r="M144" s="148">
        <v>12</v>
      </c>
      <c r="N144" s="148">
        <v>13</v>
      </c>
      <c r="O144" s="148">
        <v>14</v>
      </c>
      <c r="P144" s="148">
        <v>15</v>
      </c>
      <c r="Q144" s="148">
        <v>16</v>
      </c>
      <c r="R144" s="149">
        <v>18</v>
      </c>
      <c r="S144" s="175">
        <v>19</v>
      </c>
    </row>
    <row r="145" spans="1:139" s="146" customFormat="1" ht="54.95" customHeight="1">
      <c r="A145" s="1595" t="s">
        <v>4854</v>
      </c>
      <c r="B145" s="1595"/>
      <c r="C145" s="1595"/>
      <c r="D145" s="1595"/>
      <c r="E145" s="176">
        <f>E147+E148+E149+E150+E151+E152+E153+E154</f>
        <v>72.544600000000003</v>
      </c>
      <c r="F145" s="176">
        <f t="shared" ref="F145:P145" si="2">F147+F148+F149+F150+F151+F152+F153+F154</f>
        <v>82.553100000000001</v>
      </c>
      <c r="G145" s="176">
        <f t="shared" si="2"/>
        <v>68.765699999999995</v>
      </c>
      <c r="H145" s="176">
        <f t="shared" si="2"/>
        <v>62.1233</v>
      </c>
      <c r="I145" s="176">
        <f t="shared" si="2"/>
        <v>60.925899999999999</v>
      </c>
      <c r="J145" s="176">
        <f t="shared" si="2"/>
        <v>63.616399999999999</v>
      </c>
      <c r="K145" s="176">
        <f t="shared" si="2"/>
        <v>79.517899999999997</v>
      </c>
      <c r="L145" s="176">
        <f t="shared" si="2"/>
        <v>60.331600000000002</v>
      </c>
      <c r="M145" s="176">
        <f t="shared" si="2"/>
        <v>45.594099999999997</v>
      </c>
      <c r="N145" s="176">
        <f t="shared" si="2"/>
        <v>69.597800000000007</v>
      </c>
      <c r="O145" s="176">
        <f t="shared" si="2"/>
        <v>67.100000000000009</v>
      </c>
      <c r="P145" s="176">
        <f t="shared" si="2"/>
        <v>78.235300000000009</v>
      </c>
      <c r="Q145" s="177">
        <f>SUM(E145:P145)/12</f>
        <v>67.575475000000012</v>
      </c>
      <c r="R145" s="177">
        <v>93</v>
      </c>
      <c r="S145" s="177">
        <v>323</v>
      </c>
    </row>
    <row r="146" spans="1:139" s="1593" customFormat="1" ht="29.25" customHeight="1">
      <c r="A146" s="1585" t="s">
        <v>4837</v>
      </c>
    </row>
    <row r="147" spans="1:139" s="183" customFormat="1" ht="50.1" customHeight="1">
      <c r="A147" s="148" t="s">
        <v>4846</v>
      </c>
      <c r="B147" s="1585" t="s">
        <v>4855</v>
      </c>
      <c r="C147" s="1585"/>
      <c r="D147" s="1585"/>
      <c r="E147" s="178">
        <v>3.0840000000000001</v>
      </c>
      <c r="F147" s="178">
        <v>3.4889999999999999</v>
      </c>
      <c r="G147" s="178">
        <v>5.8570000000000002</v>
      </c>
      <c r="H147" s="178">
        <v>7.2679999999999998</v>
      </c>
      <c r="I147" s="178">
        <v>7.2949999999999999</v>
      </c>
      <c r="J147" s="178">
        <v>5.9950000000000001</v>
      </c>
      <c r="K147" s="178">
        <v>6.4020000000000001</v>
      </c>
      <c r="L147" s="179">
        <v>5.0060000000000002</v>
      </c>
      <c r="M147" s="178">
        <v>3.8250000000000002</v>
      </c>
      <c r="N147" s="178">
        <v>6.5570000000000004</v>
      </c>
      <c r="O147" s="178">
        <v>6.2030000000000003</v>
      </c>
      <c r="P147" s="178">
        <v>5.2229999999999999</v>
      </c>
      <c r="Q147" s="177">
        <f t="shared" ref="Q147:Q154" si="3">SUM(E147:P147)/12</f>
        <v>5.5170000000000003</v>
      </c>
      <c r="R147" s="180"/>
      <c r="S147" s="181"/>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2"/>
    </row>
    <row r="148" spans="1:139" s="183" customFormat="1" ht="50.1" customHeight="1">
      <c r="A148" s="148" t="s">
        <v>4847</v>
      </c>
      <c r="B148" s="1585" t="s">
        <v>4855</v>
      </c>
      <c r="C148" s="1585"/>
      <c r="D148" s="1585"/>
      <c r="E148" s="178">
        <v>1.3675999999999999</v>
      </c>
      <c r="F148" s="178">
        <v>1.4391</v>
      </c>
      <c r="G148" s="178">
        <v>1.4187000000000001</v>
      </c>
      <c r="H148" s="178">
        <v>1.3983000000000001</v>
      </c>
      <c r="I148" s="178">
        <v>1.1839</v>
      </c>
      <c r="J148" s="178">
        <v>1.0104</v>
      </c>
      <c r="K148" s="178">
        <v>1.1329</v>
      </c>
      <c r="L148" s="178">
        <v>0.91859999999999997</v>
      </c>
      <c r="M148" s="178">
        <v>0.55110000000000003</v>
      </c>
      <c r="N148" s="178">
        <v>1.2758</v>
      </c>
      <c r="O148" s="178">
        <v>1.2350000000000001</v>
      </c>
      <c r="P148" s="178">
        <v>1.3983000000000001</v>
      </c>
      <c r="Q148" s="177">
        <f t="shared" si="3"/>
        <v>1.1941416666666667</v>
      </c>
      <c r="R148" s="180"/>
      <c r="S148" s="181"/>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c r="EI148" s="182"/>
    </row>
    <row r="149" spans="1:139" s="183" customFormat="1" ht="50.1" customHeight="1">
      <c r="A149" s="148" t="s">
        <v>4848</v>
      </c>
      <c r="B149" s="1585" t="s">
        <v>4855</v>
      </c>
      <c r="C149" s="1585"/>
      <c r="D149" s="1585"/>
      <c r="E149" s="178">
        <v>0.442</v>
      </c>
      <c r="F149" s="178">
        <v>0.45200000000000001</v>
      </c>
      <c r="G149" s="178">
        <v>0.46899999999999997</v>
      </c>
      <c r="H149" s="178">
        <v>0.318</v>
      </c>
      <c r="I149" s="178">
        <v>0.23200000000000001</v>
      </c>
      <c r="J149" s="178">
        <v>0.23400000000000001</v>
      </c>
      <c r="K149" s="178">
        <v>0.29499999999999998</v>
      </c>
      <c r="L149" s="178">
        <v>0.317</v>
      </c>
      <c r="M149" s="178">
        <v>0.28000000000000003</v>
      </c>
      <c r="N149" s="178">
        <v>0.33700000000000002</v>
      </c>
      <c r="O149" s="178">
        <v>0.44400000000000001</v>
      </c>
      <c r="P149" s="178">
        <v>0.45200000000000001</v>
      </c>
      <c r="Q149" s="177">
        <f t="shared" si="3"/>
        <v>0.35600000000000009</v>
      </c>
      <c r="R149" s="180"/>
      <c r="S149" s="181"/>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2"/>
    </row>
    <row r="150" spans="1:139" s="183" customFormat="1" ht="50.1" customHeight="1">
      <c r="A150" s="148" t="s">
        <v>4849</v>
      </c>
      <c r="B150" s="1585" t="s">
        <v>4855</v>
      </c>
      <c r="C150" s="1585"/>
      <c r="D150" s="1585"/>
      <c r="E150" s="178">
        <v>39.5</v>
      </c>
      <c r="F150" s="178">
        <v>39.795999999999999</v>
      </c>
      <c r="G150" s="178">
        <v>30.937000000000001</v>
      </c>
      <c r="H150" s="178">
        <v>31.114000000000001</v>
      </c>
      <c r="I150" s="178">
        <v>25.276</v>
      </c>
      <c r="J150" s="178">
        <v>22.844000000000001</v>
      </c>
      <c r="K150" s="178">
        <v>27.664999999999999</v>
      </c>
      <c r="L150" s="178">
        <v>19.501999999999999</v>
      </c>
      <c r="M150" s="178">
        <v>8.077</v>
      </c>
      <c r="N150" s="178">
        <v>28.434000000000001</v>
      </c>
      <c r="O150" s="178">
        <v>30.998000000000001</v>
      </c>
      <c r="P150" s="178">
        <v>32.682000000000002</v>
      </c>
      <c r="Q150" s="177">
        <f t="shared" si="3"/>
        <v>28.068749999999998</v>
      </c>
      <c r="R150" s="180"/>
      <c r="S150" s="181"/>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2"/>
      <c r="DF150" s="182"/>
      <c r="DG150" s="182"/>
      <c r="DH150" s="182"/>
      <c r="DI150" s="182"/>
      <c r="DJ150" s="182"/>
      <c r="DK150" s="182"/>
      <c r="DL150" s="182"/>
      <c r="DM150" s="182"/>
      <c r="DN150" s="182"/>
      <c r="DO150" s="182"/>
      <c r="DP150" s="182"/>
      <c r="DQ150" s="182"/>
      <c r="DR150" s="182"/>
      <c r="DS150" s="182"/>
      <c r="DT150" s="182"/>
      <c r="DU150" s="182"/>
      <c r="DV150" s="182"/>
      <c r="DW150" s="182"/>
      <c r="DX150" s="182"/>
      <c r="DY150" s="182"/>
      <c r="DZ150" s="182"/>
      <c r="EA150" s="182"/>
      <c r="EB150" s="182"/>
      <c r="EC150" s="182"/>
      <c r="ED150" s="182"/>
      <c r="EE150" s="182"/>
      <c r="EF150" s="182"/>
      <c r="EG150" s="182"/>
      <c r="EH150" s="182"/>
      <c r="EI150" s="182"/>
    </row>
    <row r="151" spans="1:139" s="183" customFormat="1" ht="50.1" customHeight="1">
      <c r="A151" s="156" t="s">
        <v>4856</v>
      </c>
      <c r="B151" s="1585" t="s">
        <v>4855</v>
      </c>
      <c r="C151" s="1585"/>
      <c r="D151" s="1585"/>
      <c r="E151" s="178">
        <v>6.6029999999999998</v>
      </c>
      <c r="F151" s="178">
        <v>11.856999999999999</v>
      </c>
      <c r="G151" s="178">
        <v>8.6379999999999999</v>
      </c>
      <c r="H151" s="178">
        <v>3.742</v>
      </c>
      <c r="I151" s="178">
        <v>9.0269999999999992</v>
      </c>
      <c r="J151" s="178">
        <v>13.452999999999999</v>
      </c>
      <c r="K151" s="178">
        <v>23.254999999999999</v>
      </c>
      <c r="L151" s="178">
        <v>13.423999999999999</v>
      </c>
      <c r="M151" s="178">
        <v>13.263999999999999</v>
      </c>
      <c r="N151" s="178">
        <v>13.444000000000001</v>
      </c>
      <c r="O151" s="178">
        <v>9.1959999999999997</v>
      </c>
      <c r="P151" s="178">
        <v>14.435</v>
      </c>
      <c r="Q151" s="177">
        <f t="shared" si="3"/>
        <v>11.694833333333333</v>
      </c>
      <c r="R151" s="180"/>
      <c r="S151" s="181"/>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2"/>
      <c r="DF151" s="182"/>
      <c r="DG151" s="182"/>
      <c r="DH151" s="182"/>
      <c r="DI151" s="182"/>
      <c r="DJ151" s="182"/>
      <c r="DK151" s="182"/>
      <c r="DL151" s="182"/>
      <c r="DM151" s="182"/>
      <c r="DN151" s="182"/>
      <c r="DO151" s="182"/>
      <c r="DP151" s="182"/>
      <c r="DQ151" s="182"/>
      <c r="DR151" s="182"/>
      <c r="DS151" s="182"/>
      <c r="DT151" s="182"/>
      <c r="DU151" s="182"/>
      <c r="DV151" s="182"/>
      <c r="DW151" s="182"/>
      <c r="DX151" s="182"/>
      <c r="DY151" s="182"/>
      <c r="DZ151" s="182"/>
      <c r="EA151" s="182"/>
      <c r="EB151" s="182"/>
      <c r="EC151" s="182"/>
      <c r="ED151" s="182"/>
      <c r="EE151" s="182"/>
      <c r="EF151" s="182"/>
      <c r="EG151" s="182"/>
      <c r="EH151" s="182"/>
      <c r="EI151" s="182"/>
    </row>
    <row r="152" spans="1:139" s="183" customFormat="1" ht="50.1" customHeight="1">
      <c r="A152" s="165" t="s">
        <v>4857</v>
      </c>
      <c r="B152" s="1585" t="s">
        <v>4855</v>
      </c>
      <c r="C152" s="1585"/>
      <c r="D152" s="1585"/>
      <c r="E152" s="178">
        <v>8.5190000000000001</v>
      </c>
      <c r="F152" s="178">
        <v>10.044</v>
      </c>
      <c r="G152" s="178">
        <v>8.3119999999999994</v>
      </c>
      <c r="H152" s="178">
        <v>7.2140000000000004</v>
      </c>
      <c r="I152" s="178">
        <v>7.1680000000000001</v>
      </c>
      <c r="J152" s="178">
        <v>8.0549999999999997</v>
      </c>
      <c r="K152" s="178">
        <v>8.4770000000000003</v>
      </c>
      <c r="L152" s="178">
        <v>8.3699999999999992</v>
      </c>
      <c r="M152" s="178">
        <v>6.9219999999999997</v>
      </c>
      <c r="N152" s="178">
        <v>7.508</v>
      </c>
      <c r="O152" s="178">
        <v>6.2370000000000001</v>
      </c>
      <c r="P152" s="178">
        <v>9.2420000000000009</v>
      </c>
      <c r="Q152" s="177">
        <f t="shared" si="3"/>
        <v>8.0056666666666665</v>
      </c>
      <c r="R152" s="180"/>
      <c r="S152" s="181"/>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row>
    <row r="153" spans="1:139" s="183" customFormat="1" ht="50.1" customHeight="1">
      <c r="A153" s="165" t="s">
        <v>1995</v>
      </c>
      <c r="B153" s="1585" t="s">
        <v>4855</v>
      </c>
      <c r="C153" s="1585"/>
      <c r="D153" s="1585"/>
      <c r="E153" s="178">
        <v>1.0940000000000001</v>
      </c>
      <c r="F153" s="178">
        <v>1.1910000000000001</v>
      </c>
      <c r="G153" s="178">
        <v>1.038</v>
      </c>
      <c r="H153" s="178">
        <v>1.069</v>
      </c>
      <c r="I153" s="178">
        <v>0.98599999999999999</v>
      </c>
      <c r="J153" s="178">
        <v>1.0249999999999999</v>
      </c>
      <c r="K153" s="178">
        <v>1.0009999999999999</v>
      </c>
      <c r="L153" s="178">
        <v>1.02</v>
      </c>
      <c r="M153" s="178">
        <v>1.0920000000000001</v>
      </c>
      <c r="N153" s="178">
        <v>1.075</v>
      </c>
      <c r="O153" s="178">
        <v>1.121</v>
      </c>
      <c r="P153" s="178">
        <v>1.0940000000000001</v>
      </c>
      <c r="Q153" s="177">
        <f t="shared" si="3"/>
        <v>1.0671666666666666</v>
      </c>
      <c r="R153" s="180"/>
      <c r="S153" s="181"/>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2"/>
      <c r="DF153" s="182"/>
      <c r="DG153" s="182"/>
      <c r="DH153" s="182"/>
      <c r="DI153" s="182"/>
      <c r="DJ153" s="182"/>
      <c r="DK153" s="182"/>
      <c r="DL153" s="182"/>
      <c r="DM153" s="182"/>
      <c r="DN153" s="182"/>
      <c r="DO153" s="182"/>
      <c r="DP153" s="182"/>
      <c r="DQ153" s="182"/>
      <c r="DR153" s="182"/>
      <c r="DS153" s="182"/>
      <c r="DT153" s="182"/>
      <c r="DU153" s="182"/>
      <c r="DV153" s="182"/>
      <c r="DW153" s="182"/>
      <c r="DX153" s="182"/>
      <c r="DY153" s="182"/>
      <c r="DZ153" s="182"/>
      <c r="EA153" s="182"/>
      <c r="EB153" s="182"/>
      <c r="EC153" s="182"/>
      <c r="ED153" s="182"/>
      <c r="EE153" s="182"/>
      <c r="EF153" s="182"/>
      <c r="EG153" s="182"/>
      <c r="EH153" s="182"/>
      <c r="EI153" s="182"/>
    </row>
    <row r="154" spans="1:139" s="183" customFormat="1" ht="50.1" customHeight="1">
      <c r="A154" s="148" t="s">
        <v>4858</v>
      </c>
      <c r="B154" s="1585" t="s">
        <v>4855</v>
      </c>
      <c r="C154" s="1585"/>
      <c r="D154" s="1585"/>
      <c r="E154" s="178">
        <v>11.935</v>
      </c>
      <c r="F154" s="178">
        <v>14.285</v>
      </c>
      <c r="G154" s="178">
        <v>12.096</v>
      </c>
      <c r="H154" s="178">
        <v>10</v>
      </c>
      <c r="I154" s="178">
        <v>9.7579999999999991</v>
      </c>
      <c r="J154" s="178">
        <v>10.999999999999998</v>
      </c>
      <c r="K154" s="178">
        <v>11.29</v>
      </c>
      <c r="L154" s="178">
        <v>11.773999999999999</v>
      </c>
      <c r="M154" s="178">
        <v>11.583</v>
      </c>
      <c r="N154" s="178">
        <v>10.967000000000001</v>
      </c>
      <c r="O154" s="178">
        <v>11.666</v>
      </c>
      <c r="P154" s="178">
        <v>13.709</v>
      </c>
      <c r="Q154" s="177">
        <f t="shared" si="3"/>
        <v>11.671916666666666</v>
      </c>
      <c r="R154" s="180"/>
      <c r="S154" s="181"/>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c r="EI154" s="182"/>
    </row>
    <row r="155" spans="1:139" s="146" customFormat="1" ht="30" customHeight="1">
      <c r="A155" s="1598" t="s">
        <v>4859</v>
      </c>
      <c r="B155" s="1598"/>
      <c r="C155" s="1598"/>
      <c r="D155" s="1598"/>
      <c r="E155" s="1598"/>
      <c r="F155" s="1598"/>
      <c r="G155" s="1598"/>
      <c r="H155" s="1598"/>
      <c r="I155" s="1598"/>
      <c r="J155" s="1598"/>
      <c r="K155" s="1598"/>
      <c r="L155" s="1598"/>
      <c r="M155" s="1598"/>
      <c r="N155" s="1598"/>
      <c r="O155" s="1598"/>
      <c r="P155" s="1598"/>
      <c r="Q155" s="184"/>
      <c r="R155" s="185"/>
      <c r="S155" s="164"/>
    </row>
    <row r="156" spans="1:139" s="146" customFormat="1" ht="30.75" customHeight="1">
      <c r="A156" s="1592" t="s">
        <v>1461</v>
      </c>
      <c r="B156" s="1592"/>
      <c r="C156" s="1592"/>
      <c r="D156" s="1592"/>
      <c r="E156" s="186"/>
      <c r="F156" s="186"/>
      <c r="G156" s="186"/>
      <c r="H156" s="186"/>
      <c r="I156" s="186"/>
      <c r="J156" s="186"/>
      <c r="K156" s="186"/>
      <c r="L156" s="186"/>
      <c r="M156" s="186"/>
      <c r="N156" s="186"/>
      <c r="O156" s="186"/>
      <c r="P156" s="186"/>
      <c r="Q156" s="187"/>
      <c r="R156" s="185"/>
      <c r="S156" s="164"/>
    </row>
    <row r="157" spans="1:139" s="146" customFormat="1" ht="60" customHeight="1">
      <c r="A157" s="1597" t="s">
        <v>1462</v>
      </c>
      <c r="B157" s="1597"/>
      <c r="C157" s="1599" t="s">
        <v>1463</v>
      </c>
      <c r="D157" s="1599" t="s">
        <v>1464</v>
      </c>
      <c r="E157" s="1597" t="s">
        <v>4860</v>
      </c>
      <c r="F157" s="1597"/>
      <c r="G157" s="1597"/>
      <c r="H157" s="1597"/>
      <c r="I157" s="1597"/>
      <c r="J157" s="1597"/>
      <c r="K157" s="1597"/>
      <c r="L157" s="1597"/>
      <c r="M157" s="1597"/>
      <c r="N157" s="1597"/>
      <c r="O157" s="1597"/>
      <c r="P157" s="1597"/>
      <c r="Q157" s="1599" t="s">
        <v>1466</v>
      </c>
      <c r="R157" s="1591"/>
      <c r="S157" s="1591"/>
    </row>
    <row r="158" spans="1:139" s="146" customFormat="1" ht="60" customHeight="1">
      <c r="A158" s="1590"/>
      <c r="B158" s="1590"/>
      <c r="C158" s="1582"/>
      <c r="D158" s="1583"/>
      <c r="E158" s="1590" t="s">
        <v>1467</v>
      </c>
      <c r="F158" s="1590"/>
      <c r="G158" s="1590"/>
      <c r="H158" s="1590" t="s">
        <v>1468</v>
      </c>
      <c r="I158" s="1590"/>
      <c r="J158" s="1590"/>
      <c r="K158" s="1590" t="s">
        <v>1469</v>
      </c>
      <c r="L158" s="1590"/>
      <c r="M158" s="1590"/>
      <c r="N158" s="1590" t="s">
        <v>1470</v>
      </c>
      <c r="O158" s="1590"/>
      <c r="P158" s="1590"/>
      <c r="Q158" s="1582"/>
      <c r="R158" s="1591"/>
      <c r="S158" s="1591"/>
    </row>
    <row r="159" spans="1:139" s="146" customFormat="1" ht="60" customHeight="1">
      <c r="A159" s="1590"/>
      <c r="B159" s="1590"/>
      <c r="C159" s="1582"/>
      <c r="D159" s="1583"/>
      <c r="E159" s="147" t="s">
        <v>1471</v>
      </c>
      <c r="F159" s="147" t="s">
        <v>1472</v>
      </c>
      <c r="G159" s="147" t="s">
        <v>1473</v>
      </c>
      <c r="H159" s="147" t="s">
        <v>1474</v>
      </c>
      <c r="I159" s="147" t="s">
        <v>1475</v>
      </c>
      <c r="J159" s="147" t="s">
        <v>1476</v>
      </c>
      <c r="K159" s="147" t="s">
        <v>1477</v>
      </c>
      <c r="L159" s="147" t="s">
        <v>1478</v>
      </c>
      <c r="M159" s="147" t="s">
        <v>1479</v>
      </c>
      <c r="N159" s="147" t="s">
        <v>1480</v>
      </c>
      <c r="O159" s="147" t="s">
        <v>1481</v>
      </c>
      <c r="P159" s="147" t="s">
        <v>4522</v>
      </c>
      <c r="Q159" s="1582"/>
      <c r="R159" s="1591"/>
      <c r="S159" s="1591"/>
    </row>
    <row r="160" spans="1:139" s="146" customFormat="1" ht="18" customHeight="1">
      <c r="A160" s="148">
        <v>1</v>
      </c>
      <c r="B160" s="148">
        <v>2</v>
      </c>
      <c r="C160" s="148">
        <v>3</v>
      </c>
      <c r="D160" s="148">
        <v>4</v>
      </c>
      <c r="E160" s="149">
        <v>5</v>
      </c>
      <c r="F160" s="149">
        <v>6</v>
      </c>
      <c r="G160" s="149">
        <v>7</v>
      </c>
      <c r="H160" s="149">
        <v>8</v>
      </c>
      <c r="I160" s="149">
        <v>9</v>
      </c>
      <c r="J160" s="149">
        <v>10</v>
      </c>
      <c r="K160" s="149">
        <v>11</v>
      </c>
      <c r="L160" s="149">
        <v>12</v>
      </c>
      <c r="M160" s="149">
        <v>13</v>
      </c>
      <c r="N160" s="149">
        <v>14</v>
      </c>
      <c r="O160" s="149">
        <v>15</v>
      </c>
      <c r="P160" s="149">
        <v>16</v>
      </c>
      <c r="Q160" s="149">
        <v>17</v>
      </c>
      <c r="R160" s="150"/>
      <c r="S160" s="151"/>
    </row>
    <row r="161" spans="1:19" s="146" customFormat="1" ht="47.25" customHeight="1">
      <c r="A161" s="1584" t="s">
        <v>4836</v>
      </c>
      <c r="B161" s="1584"/>
      <c r="C161" s="1584"/>
      <c r="D161" s="1584"/>
      <c r="E161" s="188">
        <f>E166+E167+E168</f>
        <v>968.57499999999993</v>
      </c>
      <c r="F161" s="188">
        <f t="shared" ref="F161:P161" si="4">F166+F167+F168</f>
        <v>1125.1875</v>
      </c>
      <c r="G161" s="188">
        <f t="shared" si="4"/>
        <v>1072.8375000000001</v>
      </c>
      <c r="H161" s="188">
        <f t="shared" si="4"/>
        <v>903.625</v>
      </c>
      <c r="I161" s="188">
        <f t="shared" si="4"/>
        <v>892.53750000000002</v>
      </c>
      <c r="J161" s="188">
        <f t="shared" si="4"/>
        <v>927.4375</v>
      </c>
      <c r="K161" s="188">
        <f t="shared" si="4"/>
        <v>969.15</v>
      </c>
      <c r="L161" s="188">
        <f t="shared" si="4"/>
        <v>896.16250000000002</v>
      </c>
      <c r="M161" s="188">
        <f t="shared" si="4"/>
        <v>954.69999999999993</v>
      </c>
      <c r="N161" s="188">
        <f t="shared" si="4"/>
        <v>1126.6500000000001</v>
      </c>
      <c r="O161" s="188">
        <f t="shared" si="4"/>
        <v>1216.05</v>
      </c>
      <c r="P161" s="188">
        <f t="shared" si="4"/>
        <v>1300.8</v>
      </c>
      <c r="Q161" s="189">
        <f>SUM(E161:P161)</f>
        <v>12353.712499999998</v>
      </c>
      <c r="R161" s="154"/>
      <c r="S161" s="151"/>
    </row>
    <row r="162" spans="1:19" s="146" customFormat="1" ht="27" customHeight="1">
      <c r="A162" s="1607"/>
      <c r="B162" s="1607"/>
      <c r="C162" s="1607"/>
      <c r="D162" s="1607"/>
      <c r="E162" s="1607"/>
      <c r="F162" s="1607"/>
      <c r="G162" s="1607"/>
      <c r="H162" s="1607"/>
      <c r="I162" s="1607"/>
      <c r="J162" s="1607"/>
      <c r="K162" s="1607"/>
      <c r="L162" s="1607"/>
      <c r="M162" s="1607"/>
      <c r="N162" s="1607"/>
      <c r="O162" s="1607"/>
      <c r="P162" s="1607"/>
      <c r="Q162" s="1607"/>
      <c r="R162" s="185"/>
      <c r="S162" s="164"/>
    </row>
    <row r="163" spans="1:19" s="146" customFormat="1" ht="47.25" customHeight="1">
      <c r="A163" s="156" t="s">
        <v>4838</v>
      </c>
      <c r="B163" s="148" t="s">
        <v>4839</v>
      </c>
      <c r="C163" s="148" t="s">
        <v>4840</v>
      </c>
      <c r="D163" s="148" t="s">
        <v>4841</v>
      </c>
      <c r="E163" s="157">
        <f>E161+E164</f>
        <v>2768.5749999999998</v>
      </c>
      <c r="F163" s="157">
        <f t="shared" ref="F163:P163" si="5">F164+F161</f>
        <v>3025.1875</v>
      </c>
      <c r="G163" s="157">
        <f t="shared" si="5"/>
        <v>2772.8375000000001</v>
      </c>
      <c r="H163" s="157">
        <f t="shared" si="5"/>
        <v>2003.625</v>
      </c>
      <c r="I163" s="157">
        <f t="shared" si="5"/>
        <v>1992.5374999999999</v>
      </c>
      <c r="J163" s="157">
        <f t="shared" si="5"/>
        <v>1977.4375</v>
      </c>
      <c r="K163" s="157">
        <f t="shared" si="5"/>
        <v>2119.15</v>
      </c>
      <c r="L163" s="157">
        <f t="shared" si="5"/>
        <v>1996.1624999999999</v>
      </c>
      <c r="M163" s="157">
        <f t="shared" si="5"/>
        <v>2054.6999999999998</v>
      </c>
      <c r="N163" s="157">
        <f t="shared" si="5"/>
        <v>2326.65</v>
      </c>
      <c r="O163" s="157">
        <f t="shared" si="5"/>
        <v>2716.05</v>
      </c>
      <c r="P163" s="157">
        <f t="shared" si="5"/>
        <v>3100.8</v>
      </c>
      <c r="Q163" s="158">
        <f>SUM(E163:P163)</f>
        <v>28853.712500000001</v>
      </c>
      <c r="R163" s="185"/>
      <c r="S163" s="164"/>
    </row>
    <row r="164" spans="1:19" s="146" customFormat="1" ht="33" customHeight="1">
      <c r="A164" s="148" t="s">
        <v>4844</v>
      </c>
      <c r="B164" s="148" t="s">
        <v>4839</v>
      </c>
      <c r="C164" s="148" t="s">
        <v>4840</v>
      </c>
      <c r="D164" s="148" t="s">
        <v>4842</v>
      </c>
      <c r="E164" s="157">
        <v>1800</v>
      </c>
      <c r="F164" s="157">
        <v>1900</v>
      </c>
      <c r="G164" s="157">
        <v>1700</v>
      </c>
      <c r="H164" s="157">
        <v>1100</v>
      </c>
      <c r="I164" s="157">
        <v>1100</v>
      </c>
      <c r="J164" s="157">
        <v>1050</v>
      </c>
      <c r="K164" s="157">
        <v>1150</v>
      </c>
      <c r="L164" s="157">
        <v>1100</v>
      </c>
      <c r="M164" s="157">
        <v>1100</v>
      </c>
      <c r="N164" s="157">
        <v>1200</v>
      </c>
      <c r="O164" s="157">
        <v>1500</v>
      </c>
      <c r="P164" s="157">
        <v>1800</v>
      </c>
      <c r="Q164" s="158">
        <f>SUM(E164:P164)</f>
        <v>16500</v>
      </c>
      <c r="R164" s="185"/>
      <c r="S164" s="164"/>
    </row>
    <row r="165" spans="1:19" s="146" customFormat="1" ht="39.950000000000003" customHeight="1">
      <c r="A165" s="1589" t="s">
        <v>4845</v>
      </c>
      <c r="B165" s="1589"/>
      <c r="C165" s="1589"/>
      <c r="D165" s="1589"/>
      <c r="E165" s="1589"/>
      <c r="F165" s="1589"/>
      <c r="G165" s="1589"/>
      <c r="H165" s="1589"/>
      <c r="I165" s="1589"/>
      <c r="J165" s="1589"/>
      <c r="K165" s="1589"/>
      <c r="L165" s="1589"/>
      <c r="M165" s="1589"/>
      <c r="N165" s="1589"/>
      <c r="O165" s="1589"/>
      <c r="P165" s="1589"/>
      <c r="Q165" s="1589"/>
      <c r="R165" s="185"/>
      <c r="S165" s="164"/>
    </row>
    <row r="166" spans="1:19" s="146" customFormat="1" ht="33" customHeight="1">
      <c r="A166" s="148" t="s">
        <v>4846</v>
      </c>
      <c r="B166" s="1585" t="s">
        <v>4839</v>
      </c>
      <c r="C166" s="1585"/>
      <c r="D166" s="1585"/>
      <c r="E166" s="190">
        <v>0</v>
      </c>
      <c r="F166" s="190">
        <v>0</v>
      </c>
      <c r="G166" s="190">
        <v>0</v>
      </c>
      <c r="H166" s="190">
        <v>0</v>
      </c>
      <c r="I166" s="190">
        <v>0</v>
      </c>
      <c r="J166" s="190">
        <v>0</v>
      </c>
      <c r="K166" s="190">
        <v>0</v>
      </c>
      <c r="L166" s="190">
        <v>0</v>
      </c>
      <c r="M166" s="190">
        <v>0</v>
      </c>
      <c r="N166" s="190">
        <v>0</v>
      </c>
      <c r="O166" s="190">
        <v>0</v>
      </c>
      <c r="P166" s="190">
        <v>0</v>
      </c>
      <c r="Q166" s="191">
        <f>SUM(E166:P166)</f>
        <v>0</v>
      </c>
      <c r="R166" s="185"/>
      <c r="S166" s="164"/>
    </row>
    <row r="167" spans="1:19" s="146" customFormat="1" ht="30" customHeight="1">
      <c r="A167" s="148" t="s">
        <v>4847</v>
      </c>
      <c r="B167" s="1585" t="s">
        <v>4839</v>
      </c>
      <c r="C167" s="1585"/>
      <c r="D167" s="1585"/>
      <c r="E167" s="190">
        <v>46</v>
      </c>
      <c r="F167" s="192">
        <v>43</v>
      </c>
      <c r="G167" s="192">
        <v>45</v>
      </c>
      <c r="H167" s="192">
        <v>40</v>
      </c>
      <c r="I167" s="192">
        <v>38</v>
      </c>
      <c r="J167" s="192">
        <v>37</v>
      </c>
      <c r="K167" s="192">
        <v>41</v>
      </c>
      <c r="L167" s="192">
        <v>41</v>
      </c>
      <c r="M167" s="192">
        <v>37</v>
      </c>
      <c r="N167" s="192">
        <v>40</v>
      </c>
      <c r="O167" s="192">
        <v>40</v>
      </c>
      <c r="P167" s="192">
        <v>46</v>
      </c>
      <c r="Q167" s="191">
        <f>SUM(E167:P167)</f>
        <v>494</v>
      </c>
      <c r="R167" s="185"/>
      <c r="S167" s="164"/>
    </row>
    <row r="168" spans="1:19" s="146" customFormat="1" ht="50.1" customHeight="1">
      <c r="A168" s="148" t="s">
        <v>4848</v>
      </c>
      <c r="B168" s="1585" t="s">
        <v>4839</v>
      </c>
      <c r="C168" s="1585"/>
      <c r="D168" s="1585"/>
      <c r="E168" s="190">
        <v>922.57499999999993</v>
      </c>
      <c r="F168" s="193">
        <v>1082.1875</v>
      </c>
      <c r="G168" s="193">
        <v>1027.8375000000001</v>
      </c>
      <c r="H168" s="193">
        <v>863.625</v>
      </c>
      <c r="I168" s="193">
        <v>854.53750000000002</v>
      </c>
      <c r="J168" s="193">
        <v>890.4375</v>
      </c>
      <c r="K168" s="193">
        <v>928.15</v>
      </c>
      <c r="L168" s="193">
        <v>855.16250000000002</v>
      </c>
      <c r="M168" s="193">
        <v>917.69999999999993</v>
      </c>
      <c r="N168" s="193">
        <v>1086.6500000000001</v>
      </c>
      <c r="O168" s="193">
        <v>1176.05</v>
      </c>
      <c r="P168" s="193">
        <v>1254.8</v>
      </c>
      <c r="Q168" s="191">
        <f>SUM(E168:P168)</f>
        <v>11859.712499999998</v>
      </c>
      <c r="R168" s="185"/>
      <c r="S168" s="164"/>
    </row>
    <row r="169" spans="1:19" s="146" customFormat="1" ht="36.75" customHeight="1">
      <c r="A169" s="1594" t="s">
        <v>4850</v>
      </c>
      <c r="B169" s="1594"/>
      <c r="C169" s="1594"/>
      <c r="D169" s="1594"/>
      <c r="E169" s="1594"/>
      <c r="F169" s="1594"/>
      <c r="G169" s="1594"/>
      <c r="H169" s="1594"/>
      <c r="I169" s="1594"/>
      <c r="J169" s="1594"/>
      <c r="K169" s="1594"/>
      <c r="L169" s="1594"/>
      <c r="M169" s="1594"/>
      <c r="N169" s="1594"/>
      <c r="O169" s="1594"/>
      <c r="P169" s="1594"/>
      <c r="Q169" s="1594"/>
      <c r="R169" s="185"/>
      <c r="S169" s="164"/>
    </row>
    <row r="170" spans="1:19" s="146" customFormat="1" ht="50.1" customHeight="1">
      <c r="A170" s="1590" t="s">
        <v>1462</v>
      </c>
      <c r="B170" s="1590"/>
      <c r="C170" s="1582" t="s">
        <v>1463</v>
      </c>
      <c r="D170" s="1582" t="s">
        <v>1464</v>
      </c>
      <c r="E170" s="1590" t="s">
        <v>4851</v>
      </c>
      <c r="F170" s="1590"/>
      <c r="G170" s="1590"/>
      <c r="H170" s="1590"/>
      <c r="I170" s="1590"/>
      <c r="J170" s="1590"/>
      <c r="K170" s="1590"/>
      <c r="L170" s="1590"/>
      <c r="M170" s="1590"/>
      <c r="N170" s="1590"/>
      <c r="O170" s="1590"/>
      <c r="P170" s="1590"/>
      <c r="Q170" s="1582" t="s">
        <v>1466</v>
      </c>
      <c r="R170" s="1582" t="s">
        <v>4852</v>
      </c>
      <c r="S170" s="1582" t="s">
        <v>4853</v>
      </c>
    </row>
    <row r="171" spans="1:19" s="146" customFormat="1" ht="50.1" customHeight="1">
      <c r="A171" s="1590"/>
      <c r="B171" s="1590"/>
      <c r="C171" s="1582"/>
      <c r="D171" s="1583"/>
      <c r="E171" s="1590" t="s">
        <v>1467</v>
      </c>
      <c r="F171" s="1590"/>
      <c r="G171" s="1590"/>
      <c r="H171" s="1590" t="s">
        <v>1468</v>
      </c>
      <c r="I171" s="1590"/>
      <c r="J171" s="1590"/>
      <c r="K171" s="1590" t="s">
        <v>1469</v>
      </c>
      <c r="L171" s="1590"/>
      <c r="M171" s="1590"/>
      <c r="N171" s="1590" t="s">
        <v>1470</v>
      </c>
      <c r="O171" s="1590"/>
      <c r="P171" s="1590"/>
      <c r="Q171" s="1582"/>
      <c r="R171" s="1582"/>
      <c r="S171" s="1582"/>
    </row>
    <row r="172" spans="1:19" s="146" customFormat="1" ht="50.1" customHeight="1">
      <c r="A172" s="1590"/>
      <c r="B172" s="1590"/>
      <c r="C172" s="1582"/>
      <c r="D172" s="1583"/>
      <c r="E172" s="147" t="s">
        <v>1471</v>
      </c>
      <c r="F172" s="147" t="s">
        <v>1472</v>
      </c>
      <c r="G172" s="147" t="s">
        <v>1473</v>
      </c>
      <c r="H172" s="147" t="s">
        <v>1474</v>
      </c>
      <c r="I172" s="147" t="s">
        <v>1475</v>
      </c>
      <c r="J172" s="147" t="s">
        <v>1476</v>
      </c>
      <c r="K172" s="147" t="s">
        <v>1477</v>
      </c>
      <c r="L172" s="147" t="s">
        <v>1478</v>
      </c>
      <c r="M172" s="147" t="s">
        <v>1479</v>
      </c>
      <c r="N172" s="147" t="s">
        <v>1480</v>
      </c>
      <c r="O172" s="147" t="s">
        <v>1481</v>
      </c>
      <c r="P172" s="147" t="s">
        <v>4522</v>
      </c>
      <c r="Q172" s="1582"/>
      <c r="R172" s="1582"/>
      <c r="S172" s="1582"/>
    </row>
    <row r="173" spans="1:19" s="146" customFormat="1" ht="24.75" customHeight="1">
      <c r="A173" s="1582">
        <v>1</v>
      </c>
      <c r="B173" s="1582"/>
      <c r="C173" s="148">
        <v>2</v>
      </c>
      <c r="D173" s="148">
        <v>3</v>
      </c>
      <c r="E173" s="148">
        <v>4</v>
      </c>
      <c r="F173" s="148">
        <v>5</v>
      </c>
      <c r="G173" s="148">
        <v>6</v>
      </c>
      <c r="H173" s="148">
        <v>7</v>
      </c>
      <c r="I173" s="148">
        <v>8</v>
      </c>
      <c r="J173" s="148">
        <v>9</v>
      </c>
      <c r="K173" s="148">
        <v>10</v>
      </c>
      <c r="L173" s="148">
        <v>11</v>
      </c>
      <c r="M173" s="148">
        <v>12</v>
      </c>
      <c r="N173" s="148">
        <v>13</v>
      </c>
      <c r="O173" s="148">
        <v>14</v>
      </c>
      <c r="P173" s="148">
        <v>15</v>
      </c>
      <c r="Q173" s="148">
        <v>16</v>
      </c>
      <c r="R173" s="149">
        <v>18</v>
      </c>
      <c r="S173" s="175">
        <v>19</v>
      </c>
    </row>
    <row r="174" spans="1:19" s="146" customFormat="1" ht="45.75" customHeight="1">
      <c r="A174" s="1595" t="s">
        <v>4854</v>
      </c>
      <c r="B174" s="1595"/>
      <c r="C174" s="1595"/>
      <c r="D174" s="1595"/>
      <c r="E174" s="176">
        <f>E176+E177+E178+E179</f>
        <v>4.5359999999999996</v>
      </c>
      <c r="F174" s="176">
        <f t="shared" ref="F174:P174" si="6">F176+F177+F178+F179</f>
        <v>5.5510000000000002</v>
      </c>
      <c r="G174" s="176">
        <f t="shared" si="6"/>
        <v>4.9570000000000007</v>
      </c>
      <c r="H174" s="176">
        <f t="shared" si="6"/>
        <v>3.8380000000000001</v>
      </c>
      <c r="I174" s="176">
        <f t="shared" si="6"/>
        <v>3.6520000000000001</v>
      </c>
      <c r="J174" s="176">
        <f t="shared" si="6"/>
        <v>3.6799999999999997</v>
      </c>
      <c r="K174" s="176">
        <f t="shared" si="6"/>
        <v>3.7430000000000003</v>
      </c>
      <c r="L174" s="176">
        <f t="shared" si="6"/>
        <v>3.7249999999999996</v>
      </c>
      <c r="M174" s="176">
        <f t="shared" si="6"/>
        <v>3.8860000000000001</v>
      </c>
      <c r="N174" s="176">
        <f t="shared" si="6"/>
        <v>4.3120000000000003</v>
      </c>
      <c r="O174" s="176">
        <f>O176+O177+O178+O179</f>
        <v>5.1639999999999997</v>
      </c>
      <c r="P174" s="176">
        <f t="shared" si="6"/>
        <v>5.5250000000000004</v>
      </c>
      <c r="Q174" s="177">
        <f>SUM(E174:P174)/12</f>
        <v>4.3807499999999999</v>
      </c>
      <c r="R174" s="177">
        <v>13.6</v>
      </c>
      <c r="S174" s="177">
        <v>32</v>
      </c>
    </row>
    <row r="175" spans="1:19" s="194" customFormat="1" ht="29.25" customHeight="1">
      <c r="A175" s="1586" t="s">
        <v>4837</v>
      </c>
      <c r="B175" s="1587"/>
      <c r="C175" s="1587"/>
      <c r="D175" s="1587"/>
      <c r="E175" s="1587"/>
      <c r="F175" s="1587"/>
      <c r="G175" s="1587"/>
      <c r="H175" s="1587"/>
      <c r="I175" s="1587"/>
      <c r="J175" s="1587"/>
      <c r="K175" s="1587"/>
      <c r="L175" s="1587"/>
      <c r="M175" s="1587"/>
      <c r="N175" s="1587"/>
      <c r="O175" s="1587"/>
      <c r="P175" s="1587"/>
      <c r="Q175" s="1587"/>
      <c r="R175" s="1587"/>
      <c r="S175" s="1588"/>
    </row>
    <row r="176" spans="1:19" s="146" customFormat="1" ht="39.75" customHeight="1">
      <c r="A176" s="148" t="s">
        <v>4846</v>
      </c>
      <c r="B176" s="1585" t="s">
        <v>4855</v>
      </c>
      <c r="C176" s="1585"/>
      <c r="D176" s="1585"/>
      <c r="E176" s="195">
        <v>0</v>
      </c>
      <c r="F176" s="195">
        <v>0</v>
      </c>
      <c r="G176" s="195">
        <v>0</v>
      </c>
      <c r="H176" s="195">
        <v>0</v>
      </c>
      <c r="I176" s="195">
        <v>0</v>
      </c>
      <c r="J176" s="195">
        <v>0</v>
      </c>
      <c r="K176" s="195">
        <v>0</v>
      </c>
      <c r="L176" s="195">
        <v>0</v>
      </c>
      <c r="M176" s="195">
        <v>0</v>
      </c>
      <c r="N176" s="195">
        <v>0</v>
      </c>
      <c r="O176" s="195">
        <v>0</v>
      </c>
      <c r="P176" s="195">
        <v>0</v>
      </c>
      <c r="Q176" s="177">
        <f>SUM(E176:P176)/12</f>
        <v>0</v>
      </c>
      <c r="R176" s="196"/>
      <c r="S176" s="181"/>
    </row>
    <row r="177" spans="1:19" s="146" customFormat="1" ht="30.75" customHeight="1">
      <c r="A177" s="148" t="s">
        <v>4847</v>
      </c>
      <c r="B177" s="1585" t="s">
        <v>4855</v>
      </c>
      <c r="C177" s="1585"/>
      <c r="D177" s="1585"/>
      <c r="E177" s="195">
        <v>6.8000000000000005E-2</v>
      </c>
      <c r="F177" s="195">
        <v>7.0000000000000007E-2</v>
      </c>
      <c r="G177" s="195">
        <v>6.7000000000000004E-2</v>
      </c>
      <c r="H177" s="195">
        <v>6.0999999999999999E-2</v>
      </c>
      <c r="I177" s="195">
        <v>5.6000000000000001E-2</v>
      </c>
      <c r="J177" s="195">
        <v>5.7000000000000002E-2</v>
      </c>
      <c r="K177" s="195">
        <v>6.0999999999999999E-2</v>
      </c>
      <c r="L177" s="195">
        <v>6.0999999999999999E-2</v>
      </c>
      <c r="M177" s="195">
        <v>5.7000000000000002E-2</v>
      </c>
      <c r="N177" s="195">
        <v>5.8999999999999997E-2</v>
      </c>
      <c r="O177" s="195">
        <v>6.0999999999999999E-2</v>
      </c>
      <c r="P177" s="195">
        <v>6.8000000000000005E-2</v>
      </c>
      <c r="Q177" s="177">
        <f>SUM(E177:P177)/12</f>
        <v>6.2166666666666669E-2</v>
      </c>
      <c r="R177" s="196"/>
      <c r="S177" s="181"/>
    </row>
    <row r="178" spans="1:19" s="146" customFormat="1" ht="50.1" customHeight="1">
      <c r="A178" s="148" t="s">
        <v>4848</v>
      </c>
      <c r="B178" s="1585" t="s">
        <v>4855</v>
      </c>
      <c r="C178" s="1585"/>
      <c r="D178" s="1585"/>
      <c r="E178" s="195">
        <v>1.5649999999999999</v>
      </c>
      <c r="F178" s="195">
        <v>2.089</v>
      </c>
      <c r="G178" s="195">
        <v>2.149</v>
      </c>
      <c r="H178" s="195">
        <v>1.944</v>
      </c>
      <c r="I178" s="195">
        <v>1.8220000000000001</v>
      </c>
      <c r="J178" s="195">
        <v>1.873</v>
      </c>
      <c r="K178" s="195">
        <v>1.8280000000000001</v>
      </c>
      <c r="L178" s="195">
        <v>1.89</v>
      </c>
      <c r="M178" s="195">
        <v>1.996</v>
      </c>
      <c r="N178" s="195">
        <v>2.3180000000000001</v>
      </c>
      <c r="O178" s="195">
        <v>2.6030000000000002</v>
      </c>
      <c r="P178" s="195">
        <v>2.5539999999999998</v>
      </c>
      <c r="Q178" s="177">
        <f>SUM(E178:P178)/12</f>
        <v>2.0525833333333332</v>
      </c>
      <c r="R178" s="196"/>
      <c r="S178" s="181"/>
    </row>
    <row r="179" spans="1:19" customFormat="1" ht="36.75" customHeight="1">
      <c r="A179" s="197" t="s">
        <v>4844</v>
      </c>
      <c r="B179" s="1585" t="s">
        <v>4855</v>
      </c>
      <c r="C179" s="1585"/>
      <c r="D179" s="1585"/>
      <c r="E179" s="198">
        <v>2.903</v>
      </c>
      <c r="F179" s="198">
        <v>3.3919999999999999</v>
      </c>
      <c r="G179" s="198">
        <v>2.7410000000000001</v>
      </c>
      <c r="H179" s="198">
        <v>1.833</v>
      </c>
      <c r="I179" s="198">
        <v>1.774</v>
      </c>
      <c r="J179" s="198">
        <v>1.7499999999999998</v>
      </c>
      <c r="K179" s="198">
        <v>1.8540000000000001</v>
      </c>
      <c r="L179" s="198">
        <v>1.774</v>
      </c>
      <c r="M179" s="198">
        <v>1.833</v>
      </c>
      <c r="N179" s="198">
        <v>1.9350000000000001</v>
      </c>
      <c r="O179" s="198">
        <v>2.5</v>
      </c>
      <c r="P179" s="198">
        <v>2.903</v>
      </c>
      <c r="Q179" s="177">
        <f>SUM(E179:P179)/12</f>
        <v>2.2659999999999996</v>
      </c>
      <c r="R179" s="199"/>
      <c r="S179" s="199"/>
    </row>
    <row r="180" spans="1:19" s="200" customFormat="1" ht="17.25" customHeight="1"/>
    <row r="181" spans="1:19" s="201" customFormat="1" ht="27" customHeight="1">
      <c r="A181" s="1600" t="s">
        <v>669</v>
      </c>
      <c r="B181" s="1600"/>
      <c r="C181" s="1600"/>
      <c r="D181" s="1600"/>
      <c r="E181" s="1600"/>
      <c r="F181" s="1600"/>
      <c r="G181" s="1600"/>
      <c r="H181" s="1600"/>
      <c r="I181" s="1600"/>
      <c r="J181" s="1600"/>
      <c r="K181" s="1600"/>
      <c r="L181" s="1600"/>
      <c r="M181" s="1600"/>
      <c r="N181" s="1600"/>
      <c r="O181" s="1600"/>
      <c r="P181" s="1600"/>
      <c r="Q181" s="1600"/>
      <c r="R181" s="1600"/>
      <c r="S181" s="1600"/>
    </row>
    <row r="182" spans="1:19" customFormat="1" ht="26.25">
      <c r="A182" s="1601" t="s">
        <v>1459</v>
      </c>
      <c r="B182" s="1601"/>
      <c r="C182" s="1601"/>
      <c r="D182" s="1601"/>
      <c r="E182" s="1601"/>
      <c r="F182" s="1601"/>
      <c r="G182" s="1601"/>
      <c r="H182" s="1601"/>
      <c r="I182" s="1601"/>
      <c r="J182" s="1601"/>
      <c r="K182" s="1601"/>
      <c r="L182" s="1601"/>
      <c r="M182" s="1601"/>
      <c r="N182" s="1601"/>
      <c r="O182" s="1601"/>
      <c r="P182" s="1601"/>
      <c r="Q182" s="1601"/>
      <c r="R182" s="1601"/>
      <c r="S182" s="1601"/>
    </row>
    <row r="183" spans="1:19" customFormat="1" ht="27.75" customHeight="1">
      <c r="A183" s="1594" t="s">
        <v>1460</v>
      </c>
      <c r="B183" s="1594"/>
      <c r="C183" s="1594"/>
      <c r="D183" s="1594"/>
      <c r="E183" s="1594"/>
      <c r="F183" s="1594"/>
      <c r="G183" s="1594"/>
      <c r="H183" s="1594"/>
      <c r="I183" s="1594"/>
      <c r="J183" s="1594"/>
      <c r="K183" s="1594"/>
      <c r="L183" s="1594"/>
      <c r="M183" s="1594"/>
      <c r="N183" s="1594"/>
      <c r="O183" s="1594"/>
      <c r="P183" s="1594"/>
      <c r="Q183" s="144"/>
      <c r="R183" s="144"/>
      <c r="S183" s="144"/>
    </row>
    <row r="184" spans="1:19" customFormat="1" ht="24.95" customHeight="1">
      <c r="A184" s="1592" t="s">
        <v>1461</v>
      </c>
      <c r="B184" s="1592"/>
      <c r="C184" s="1592"/>
      <c r="D184" s="1592"/>
      <c r="E184" s="145"/>
      <c r="F184" s="145"/>
      <c r="G184" s="145"/>
      <c r="H184" s="145"/>
      <c r="I184" s="145"/>
      <c r="J184" s="145"/>
      <c r="K184" s="145"/>
      <c r="L184" s="145"/>
      <c r="M184" s="145"/>
      <c r="N184" s="145"/>
      <c r="O184" s="145"/>
      <c r="P184" s="145"/>
      <c r="Q184" s="144"/>
      <c r="R184" s="144"/>
      <c r="S184" s="144"/>
    </row>
    <row r="185" spans="1:19" s="146" customFormat="1" ht="46.5" customHeight="1">
      <c r="A185" s="1590" t="s">
        <v>1462</v>
      </c>
      <c r="B185" s="1590"/>
      <c r="C185" s="1582" t="s">
        <v>1463</v>
      </c>
      <c r="D185" s="1582" t="s">
        <v>1464</v>
      </c>
      <c r="E185" s="1590" t="s">
        <v>1465</v>
      </c>
      <c r="F185" s="1590"/>
      <c r="G185" s="1590"/>
      <c r="H185" s="1590"/>
      <c r="I185" s="1590"/>
      <c r="J185" s="1590"/>
      <c r="K185" s="1590"/>
      <c r="L185" s="1590"/>
      <c r="M185" s="1590"/>
      <c r="N185" s="1590"/>
      <c r="O185" s="1590"/>
      <c r="P185" s="1590"/>
      <c r="Q185" s="1582" t="s">
        <v>1466</v>
      </c>
      <c r="R185" s="1591"/>
      <c r="S185" s="1591"/>
    </row>
    <row r="186" spans="1:19" s="146" customFormat="1" ht="60" customHeight="1">
      <c r="A186" s="1590"/>
      <c r="B186" s="1590"/>
      <c r="C186" s="1582"/>
      <c r="D186" s="1583"/>
      <c r="E186" s="1590" t="s">
        <v>1467</v>
      </c>
      <c r="F186" s="1590"/>
      <c r="G186" s="1590"/>
      <c r="H186" s="1590" t="s">
        <v>1468</v>
      </c>
      <c r="I186" s="1590"/>
      <c r="J186" s="1590"/>
      <c r="K186" s="1590" t="s">
        <v>1469</v>
      </c>
      <c r="L186" s="1590"/>
      <c r="M186" s="1590"/>
      <c r="N186" s="1590" t="s">
        <v>1470</v>
      </c>
      <c r="O186" s="1590"/>
      <c r="P186" s="1590"/>
      <c r="Q186" s="1582"/>
      <c r="R186" s="1591"/>
      <c r="S186" s="1591"/>
    </row>
    <row r="187" spans="1:19" s="146" customFormat="1" ht="31.5" customHeight="1">
      <c r="A187" s="1590"/>
      <c r="B187" s="1590"/>
      <c r="C187" s="1582"/>
      <c r="D187" s="1583"/>
      <c r="E187" s="147" t="s">
        <v>1471</v>
      </c>
      <c r="F187" s="147" t="s">
        <v>1472</v>
      </c>
      <c r="G187" s="147" t="s">
        <v>1473</v>
      </c>
      <c r="H187" s="147" t="s">
        <v>1474</v>
      </c>
      <c r="I187" s="147" t="s">
        <v>1475</v>
      </c>
      <c r="J187" s="147" t="s">
        <v>1476</v>
      </c>
      <c r="K187" s="147" t="s">
        <v>1477</v>
      </c>
      <c r="L187" s="147" t="s">
        <v>1478</v>
      </c>
      <c r="M187" s="147" t="s">
        <v>1479</v>
      </c>
      <c r="N187" s="147" t="s">
        <v>1480</v>
      </c>
      <c r="O187" s="147" t="s">
        <v>1481</v>
      </c>
      <c r="P187" s="147" t="s">
        <v>4522</v>
      </c>
      <c r="Q187" s="1582"/>
      <c r="R187" s="1591"/>
      <c r="S187" s="1591"/>
    </row>
    <row r="188" spans="1:19" s="146" customFormat="1" ht="18" customHeight="1">
      <c r="A188" s="148">
        <v>1</v>
      </c>
      <c r="B188" s="148">
        <v>2</v>
      </c>
      <c r="C188" s="148">
        <v>3</v>
      </c>
      <c r="D188" s="148">
        <v>4</v>
      </c>
      <c r="E188" s="149">
        <v>5</v>
      </c>
      <c r="F188" s="149">
        <v>6</v>
      </c>
      <c r="G188" s="149">
        <v>7</v>
      </c>
      <c r="H188" s="149">
        <v>8</v>
      </c>
      <c r="I188" s="149">
        <v>9</v>
      </c>
      <c r="J188" s="149">
        <v>10</v>
      </c>
      <c r="K188" s="149">
        <v>11</v>
      </c>
      <c r="L188" s="149">
        <v>12</v>
      </c>
      <c r="M188" s="149">
        <v>13</v>
      </c>
      <c r="N188" s="149">
        <v>14</v>
      </c>
      <c r="O188" s="149">
        <v>15</v>
      </c>
      <c r="P188" s="149">
        <v>16</v>
      </c>
      <c r="Q188" s="149">
        <v>17</v>
      </c>
      <c r="R188" s="150"/>
      <c r="S188" s="151"/>
    </row>
    <row r="189" spans="1:19" s="146" customFormat="1" ht="60" customHeight="1">
      <c r="A189" s="1584" t="s">
        <v>4836</v>
      </c>
      <c r="B189" s="1584"/>
      <c r="C189" s="1584"/>
      <c r="D189" s="1584"/>
      <c r="E189" s="202">
        <f>E197+E198+E199+E200</f>
        <v>11798.436</v>
      </c>
      <c r="F189" s="202">
        <f t="shared" ref="F189:P189" si="7">F197+F198+F199+F200</f>
        <v>14406.297</v>
      </c>
      <c r="G189" s="202">
        <f t="shared" si="7"/>
        <v>13736.861999999999</v>
      </c>
      <c r="H189" s="202">
        <f t="shared" si="7"/>
        <v>14114.126</v>
      </c>
      <c r="I189" s="202">
        <f t="shared" si="7"/>
        <v>12749.713400000001</v>
      </c>
      <c r="J189" s="202">
        <f t="shared" si="7"/>
        <v>12050.176800000001</v>
      </c>
      <c r="K189" s="202">
        <f t="shared" si="7"/>
        <v>13248.9018</v>
      </c>
      <c r="L189" s="202">
        <f t="shared" si="7"/>
        <v>10019.529399999999</v>
      </c>
      <c r="M189" s="202">
        <f t="shared" si="7"/>
        <v>7772.8951999999999</v>
      </c>
      <c r="N189" s="202">
        <f t="shared" si="7"/>
        <v>12743.191999999999</v>
      </c>
      <c r="O189" s="202">
        <f t="shared" si="7"/>
        <v>12462.28</v>
      </c>
      <c r="P189" s="202">
        <f t="shared" si="7"/>
        <v>12505.691999999999</v>
      </c>
      <c r="Q189" s="203">
        <f>SUM(E189:P189)</f>
        <v>147608.10160000002</v>
      </c>
      <c r="R189" s="154"/>
      <c r="S189" s="151"/>
    </row>
    <row r="190" spans="1:19" s="146" customFormat="1" ht="27" customHeight="1">
      <c r="A190" s="1586" t="s">
        <v>4837</v>
      </c>
      <c r="B190" s="1587"/>
      <c r="C190" s="1587"/>
      <c r="D190" s="1587"/>
      <c r="E190" s="1587"/>
      <c r="F190" s="1587"/>
      <c r="G190" s="1587"/>
      <c r="H190" s="1587"/>
      <c r="I190" s="1587"/>
      <c r="J190" s="1587"/>
      <c r="K190" s="1587"/>
      <c r="L190" s="1587"/>
      <c r="M190" s="1587"/>
      <c r="N190" s="1587"/>
      <c r="O190" s="1587"/>
      <c r="P190" s="1587"/>
      <c r="Q190" s="1588"/>
      <c r="R190" s="155"/>
      <c r="S190" s="155"/>
    </row>
    <row r="191" spans="1:19" s="146" customFormat="1" ht="50.1" customHeight="1">
      <c r="A191" s="204" t="s">
        <v>4838</v>
      </c>
      <c r="B191" s="205" t="s">
        <v>4839</v>
      </c>
      <c r="C191" s="205" t="s">
        <v>4840</v>
      </c>
      <c r="D191" s="205" t="s">
        <v>4841</v>
      </c>
      <c r="E191" s="206">
        <f>E189+E192+E193+E194+E195</f>
        <v>34658.945</v>
      </c>
      <c r="F191" s="206">
        <f t="shared" ref="F191:P191" si="8">F189+F192+F193+F194+F195</f>
        <v>32469.588</v>
      </c>
      <c r="G191" s="206">
        <f t="shared" si="8"/>
        <v>33317.099000000002</v>
      </c>
      <c r="H191" s="206">
        <f t="shared" si="8"/>
        <v>37381.622000000003</v>
      </c>
      <c r="I191" s="206">
        <f t="shared" si="8"/>
        <v>42897.3514</v>
      </c>
      <c r="J191" s="206">
        <f t="shared" si="8"/>
        <v>44592.212800000001</v>
      </c>
      <c r="K191" s="206">
        <f t="shared" si="8"/>
        <v>47110.749800000005</v>
      </c>
      <c r="L191" s="206">
        <f t="shared" si="8"/>
        <v>42958.655400000003</v>
      </c>
      <c r="M191" s="206">
        <f t="shared" si="8"/>
        <v>36447.944199999998</v>
      </c>
      <c r="N191" s="206">
        <f t="shared" si="8"/>
        <v>43224.33</v>
      </c>
      <c r="O191" s="206">
        <f t="shared" si="8"/>
        <v>45274.66</v>
      </c>
      <c r="P191" s="206">
        <f t="shared" si="8"/>
        <v>44495.535000000003</v>
      </c>
      <c r="Q191" s="207">
        <f>SUM(E191:P191)</f>
        <v>484828.69260000007</v>
      </c>
      <c r="R191" s="159"/>
      <c r="S191" s="160"/>
    </row>
    <row r="192" spans="1:19" s="146" customFormat="1" ht="50.1" customHeight="1">
      <c r="A192" s="204" t="s">
        <v>4838</v>
      </c>
      <c r="B192" s="205" t="s">
        <v>4839</v>
      </c>
      <c r="C192" s="205" t="s">
        <v>4840</v>
      </c>
      <c r="D192" s="205" t="s">
        <v>4842</v>
      </c>
      <c r="E192" s="205">
        <v>9201.9</v>
      </c>
      <c r="F192" s="206">
        <v>5402.1840000000002</v>
      </c>
      <c r="G192" s="206">
        <v>6575.5020000000004</v>
      </c>
      <c r="H192" s="206">
        <v>11425.532999999999</v>
      </c>
      <c r="I192" s="206">
        <v>19369.807000000001</v>
      </c>
      <c r="J192" s="206">
        <v>21204.690999999999</v>
      </c>
      <c r="K192" s="206">
        <v>21073.201000000001</v>
      </c>
      <c r="L192" s="206">
        <v>21036.43</v>
      </c>
      <c r="M192" s="206">
        <v>17116.337</v>
      </c>
      <c r="N192" s="206">
        <v>17608.991000000002</v>
      </c>
      <c r="O192" s="206">
        <v>20323.112000000001</v>
      </c>
      <c r="P192" s="206">
        <v>17684.971000000001</v>
      </c>
      <c r="Q192" s="208">
        <f>SUM(E192:P192)</f>
        <v>188022.65899999999</v>
      </c>
      <c r="R192" s="163"/>
      <c r="S192" s="164"/>
    </row>
    <row r="193" spans="1:139" s="171" customFormat="1" ht="50.1" customHeight="1">
      <c r="A193" s="209" t="s">
        <v>4843</v>
      </c>
      <c r="B193" s="209" t="s">
        <v>4839</v>
      </c>
      <c r="C193" s="205" t="s">
        <v>4840</v>
      </c>
      <c r="D193" s="209" t="s">
        <v>4842</v>
      </c>
      <c r="E193" s="209">
        <v>5117.1090000000004</v>
      </c>
      <c r="F193" s="210">
        <v>4694.607</v>
      </c>
      <c r="G193" s="210">
        <v>4885.6350000000002</v>
      </c>
      <c r="H193" s="210">
        <v>4402.762999999999</v>
      </c>
      <c r="I193" s="210">
        <v>4409.1310000000003</v>
      </c>
      <c r="J193" s="210">
        <v>4660.2449999999999</v>
      </c>
      <c r="K193" s="210">
        <v>5175.8470000000007</v>
      </c>
      <c r="L193" s="210">
        <v>4911.3959999999997</v>
      </c>
      <c r="M193" s="210">
        <v>4298.5620000000008</v>
      </c>
      <c r="N193" s="210">
        <v>5256.0469999999996</v>
      </c>
      <c r="O193" s="210">
        <v>4708.9679999999998</v>
      </c>
      <c r="P193" s="210">
        <v>5414.2219999999998</v>
      </c>
      <c r="Q193" s="211">
        <f>SUM(E193:P193)</f>
        <v>57934.531999999999</v>
      </c>
      <c r="R193" s="169"/>
      <c r="S193" s="170"/>
    </row>
    <row r="194" spans="1:139" s="171" customFormat="1" ht="50.1" customHeight="1">
      <c r="A194" s="209" t="s">
        <v>670</v>
      </c>
      <c r="B194" s="209" t="s">
        <v>4839</v>
      </c>
      <c r="C194" s="205" t="s">
        <v>4840</v>
      </c>
      <c r="D194" s="209" t="s">
        <v>4842</v>
      </c>
      <c r="E194" s="209">
        <v>610.5</v>
      </c>
      <c r="F194" s="210">
        <v>550.5</v>
      </c>
      <c r="G194" s="210">
        <v>600.1</v>
      </c>
      <c r="H194" s="210">
        <v>538.20000000000005</v>
      </c>
      <c r="I194" s="210">
        <v>549.20000000000005</v>
      </c>
      <c r="J194" s="210">
        <v>600.1</v>
      </c>
      <c r="K194" s="210">
        <v>660.3</v>
      </c>
      <c r="L194" s="210">
        <v>605.29999999999995</v>
      </c>
      <c r="M194" s="210">
        <v>565.15</v>
      </c>
      <c r="N194" s="210">
        <v>612.1</v>
      </c>
      <c r="O194" s="210">
        <v>570.29999999999995</v>
      </c>
      <c r="P194" s="210">
        <v>650.65</v>
      </c>
      <c r="Q194" s="211">
        <f>SUM(E194:P194)</f>
        <v>7112.4</v>
      </c>
      <c r="R194" s="169"/>
      <c r="S194" s="170"/>
    </row>
    <row r="195" spans="1:139" s="146" customFormat="1" ht="50.1" customHeight="1">
      <c r="A195" s="205" t="s">
        <v>4844</v>
      </c>
      <c r="B195" s="205" t="s">
        <v>4839</v>
      </c>
      <c r="C195" s="205" t="s">
        <v>4840</v>
      </c>
      <c r="D195" s="205" t="s">
        <v>4842</v>
      </c>
      <c r="E195" s="205">
        <v>7931</v>
      </c>
      <c r="F195" s="206">
        <v>7416</v>
      </c>
      <c r="G195" s="206">
        <v>7519</v>
      </c>
      <c r="H195" s="206">
        <v>6901</v>
      </c>
      <c r="I195" s="206">
        <v>5819.5</v>
      </c>
      <c r="J195" s="206">
        <v>6077</v>
      </c>
      <c r="K195" s="206">
        <v>6952.5</v>
      </c>
      <c r="L195" s="206">
        <v>6386</v>
      </c>
      <c r="M195" s="206">
        <v>6695</v>
      </c>
      <c r="N195" s="206">
        <v>7004</v>
      </c>
      <c r="O195" s="206">
        <v>7210</v>
      </c>
      <c r="P195" s="206">
        <v>8240</v>
      </c>
      <c r="Q195" s="208">
        <f>SUM(E195:P195)</f>
        <v>84151</v>
      </c>
      <c r="R195" s="163"/>
      <c r="S195" s="164"/>
    </row>
    <row r="196" spans="1:139" s="146" customFormat="1" ht="39.950000000000003" customHeight="1">
      <c r="A196" s="1604" t="s">
        <v>4845</v>
      </c>
      <c r="B196" s="1604"/>
      <c r="C196" s="1604"/>
      <c r="D196" s="1604"/>
      <c r="E196" s="1604"/>
      <c r="F196" s="1604"/>
      <c r="G196" s="1604"/>
      <c r="H196" s="1604"/>
      <c r="I196" s="1604"/>
      <c r="J196" s="1604"/>
      <c r="K196" s="1604"/>
      <c r="L196" s="1604"/>
      <c r="M196" s="1604"/>
      <c r="N196" s="1604"/>
      <c r="O196" s="1604"/>
      <c r="P196" s="1604"/>
      <c r="Q196" s="1604"/>
      <c r="R196" s="163"/>
      <c r="S196" s="164"/>
    </row>
    <row r="197" spans="1:139" s="146" customFormat="1" ht="50.1" customHeight="1">
      <c r="A197" s="205" t="s">
        <v>4846</v>
      </c>
      <c r="B197" s="1603" t="s">
        <v>4839</v>
      </c>
      <c r="C197" s="1603"/>
      <c r="D197" s="1603"/>
      <c r="E197" s="206">
        <v>9.1470000000000002</v>
      </c>
      <c r="F197" s="206">
        <v>243.81200000000001</v>
      </c>
      <c r="G197" s="206">
        <v>488.19799999999998</v>
      </c>
      <c r="H197" s="206">
        <v>1074.614</v>
      </c>
      <c r="I197" s="206">
        <v>1130.5920000000001</v>
      </c>
      <c r="J197" s="206">
        <v>1204.5530000000001</v>
      </c>
      <c r="K197" s="206">
        <v>1217.5989999999999</v>
      </c>
      <c r="L197" s="212">
        <v>762.94399999999996</v>
      </c>
      <c r="M197" s="206">
        <v>737.94899999999996</v>
      </c>
      <c r="N197" s="206">
        <v>1077.6079999999999</v>
      </c>
      <c r="O197" s="206">
        <v>128.28100000000001</v>
      </c>
      <c r="P197" s="206">
        <v>90.040999999999997</v>
      </c>
      <c r="Q197" s="208">
        <f>SUM(E197:P197)</f>
        <v>8165.3380000000006</v>
      </c>
      <c r="R197" s="163"/>
      <c r="S197" s="164"/>
    </row>
    <row r="198" spans="1:139" s="146" customFormat="1" ht="50.1" customHeight="1">
      <c r="A198" s="205" t="s">
        <v>4847</v>
      </c>
      <c r="B198" s="1603" t="s">
        <v>4839</v>
      </c>
      <c r="C198" s="1603"/>
      <c r="D198" s="1603"/>
      <c r="E198" s="206">
        <v>932.56899999999996</v>
      </c>
      <c r="F198" s="206">
        <v>782.71900000000005</v>
      </c>
      <c r="G198" s="206">
        <v>1323.3440000000001</v>
      </c>
      <c r="H198" s="206">
        <v>16.257999999999999</v>
      </c>
      <c r="I198" s="206">
        <v>306.15100000000001</v>
      </c>
      <c r="J198" s="206">
        <v>435.471</v>
      </c>
      <c r="K198" s="206">
        <v>514.25</v>
      </c>
      <c r="L198" s="206">
        <v>535.68700000000001</v>
      </c>
      <c r="M198" s="206">
        <v>615.54499999999996</v>
      </c>
      <c r="N198" s="206">
        <v>627.96299999999997</v>
      </c>
      <c r="O198" s="206">
        <v>988.47900000000004</v>
      </c>
      <c r="P198" s="206">
        <v>636.32299999999998</v>
      </c>
      <c r="Q198" s="208">
        <f>SUM(E198:P198)</f>
        <v>7714.759</v>
      </c>
      <c r="R198" s="163"/>
      <c r="S198" s="164"/>
    </row>
    <row r="199" spans="1:139" s="146" customFormat="1" ht="50.1" customHeight="1">
      <c r="A199" s="205" t="s">
        <v>4848</v>
      </c>
      <c r="B199" s="1603" t="s">
        <v>4839</v>
      </c>
      <c r="C199" s="1603"/>
      <c r="D199" s="1603"/>
      <c r="E199" s="206">
        <v>156.72</v>
      </c>
      <c r="F199" s="206">
        <v>179.76599999999999</v>
      </c>
      <c r="G199" s="206">
        <v>125.32</v>
      </c>
      <c r="H199" s="206">
        <v>123.254</v>
      </c>
      <c r="I199" s="206">
        <v>112.9704</v>
      </c>
      <c r="J199" s="206">
        <v>110.1528</v>
      </c>
      <c r="K199" s="206">
        <v>117.05279999999999</v>
      </c>
      <c r="L199" s="206">
        <v>115.89839999999998</v>
      </c>
      <c r="M199" s="206">
        <v>119.4012</v>
      </c>
      <c r="N199" s="206">
        <v>137.62100000000001</v>
      </c>
      <c r="O199" s="206">
        <v>145.52000000000001</v>
      </c>
      <c r="P199" s="206">
        <v>179.328</v>
      </c>
      <c r="Q199" s="208">
        <f>SUM(E199:P199)</f>
        <v>1623.0046</v>
      </c>
      <c r="R199" s="163"/>
      <c r="S199" s="164"/>
    </row>
    <row r="200" spans="1:139" s="171" customFormat="1" ht="66.75" customHeight="1">
      <c r="A200" s="202" t="s">
        <v>4849</v>
      </c>
      <c r="B200" s="1610" t="s">
        <v>4839</v>
      </c>
      <c r="C200" s="1610"/>
      <c r="D200" s="1610"/>
      <c r="E200" s="212">
        <v>10700</v>
      </c>
      <c r="F200" s="212">
        <v>13200</v>
      </c>
      <c r="G200" s="212">
        <v>11800</v>
      </c>
      <c r="H200" s="212">
        <v>12900</v>
      </c>
      <c r="I200" s="212">
        <v>11200</v>
      </c>
      <c r="J200" s="212">
        <v>10300</v>
      </c>
      <c r="K200" s="212">
        <v>11400</v>
      </c>
      <c r="L200" s="212">
        <v>8605</v>
      </c>
      <c r="M200" s="212">
        <v>6300</v>
      </c>
      <c r="N200" s="212">
        <v>10900</v>
      </c>
      <c r="O200" s="212">
        <v>11200</v>
      </c>
      <c r="P200" s="212">
        <v>11600</v>
      </c>
      <c r="Q200" s="213">
        <f>SUM(E200:P200)</f>
        <v>130105</v>
      </c>
      <c r="R200" s="169"/>
      <c r="S200" s="170"/>
    </row>
    <row r="201" spans="1:139" s="146" customFormat="1" ht="29.25" customHeight="1">
      <c r="A201" s="1608" t="s">
        <v>4850</v>
      </c>
      <c r="B201" s="1608"/>
      <c r="C201" s="1608"/>
      <c r="D201" s="1608"/>
      <c r="E201" s="1608"/>
      <c r="F201" s="1608"/>
      <c r="G201" s="1608"/>
      <c r="H201" s="1608"/>
      <c r="I201" s="1608"/>
      <c r="J201" s="1608"/>
      <c r="K201" s="1608"/>
      <c r="L201" s="1608"/>
      <c r="M201" s="1608"/>
      <c r="N201" s="1608"/>
      <c r="O201" s="1608"/>
      <c r="P201" s="1608"/>
      <c r="Q201" s="1608"/>
      <c r="R201" s="163"/>
      <c r="S201" s="164"/>
    </row>
    <row r="202" spans="1:139" s="146" customFormat="1" ht="50.1" customHeight="1">
      <c r="A202" s="1602" t="s">
        <v>1462</v>
      </c>
      <c r="B202" s="1602"/>
      <c r="C202" s="1605" t="s">
        <v>1463</v>
      </c>
      <c r="D202" s="1605" t="s">
        <v>1464</v>
      </c>
      <c r="E202" s="1602" t="s">
        <v>4851</v>
      </c>
      <c r="F202" s="1602"/>
      <c r="G202" s="1602"/>
      <c r="H202" s="1602"/>
      <c r="I202" s="1602"/>
      <c r="J202" s="1602"/>
      <c r="K202" s="1602"/>
      <c r="L202" s="1602"/>
      <c r="M202" s="1602"/>
      <c r="N202" s="1602"/>
      <c r="O202" s="1602"/>
      <c r="P202" s="1602"/>
      <c r="Q202" s="1605" t="s">
        <v>1466</v>
      </c>
      <c r="R202" s="1582" t="s">
        <v>4852</v>
      </c>
      <c r="S202" s="1582" t="s">
        <v>4853</v>
      </c>
    </row>
    <row r="203" spans="1:139" s="146" customFormat="1" ht="50.1" customHeight="1">
      <c r="A203" s="1602"/>
      <c r="B203" s="1602"/>
      <c r="C203" s="1605"/>
      <c r="D203" s="1609"/>
      <c r="E203" s="1602" t="s">
        <v>1467</v>
      </c>
      <c r="F203" s="1602"/>
      <c r="G203" s="1602"/>
      <c r="H203" s="1602" t="s">
        <v>1468</v>
      </c>
      <c r="I203" s="1602"/>
      <c r="J203" s="1602"/>
      <c r="K203" s="1602" t="s">
        <v>1469</v>
      </c>
      <c r="L203" s="1602"/>
      <c r="M203" s="1602"/>
      <c r="N203" s="1602" t="s">
        <v>1470</v>
      </c>
      <c r="O203" s="1602"/>
      <c r="P203" s="1602"/>
      <c r="Q203" s="1605"/>
      <c r="R203" s="1582"/>
      <c r="S203" s="1582"/>
    </row>
    <row r="204" spans="1:139" s="146" customFormat="1" ht="50.1" customHeight="1">
      <c r="A204" s="1602"/>
      <c r="B204" s="1602"/>
      <c r="C204" s="1605"/>
      <c r="D204" s="1609"/>
      <c r="E204" s="214" t="s">
        <v>1471</v>
      </c>
      <c r="F204" s="214" t="s">
        <v>1472</v>
      </c>
      <c r="G204" s="214" t="s">
        <v>1473</v>
      </c>
      <c r="H204" s="214" t="s">
        <v>1474</v>
      </c>
      <c r="I204" s="214" t="s">
        <v>1475</v>
      </c>
      <c r="J204" s="214" t="s">
        <v>1476</v>
      </c>
      <c r="K204" s="214" t="s">
        <v>1477</v>
      </c>
      <c r="L204" s="214" t="s">
        <v>1478</v>
      </c>
      <c r="M204" s="214" t="s">
        <v>1479</v>
      </c>
      <c r="N204" s="214" t="s">
        <v>1480</v>
      </c>
      <c r="O204" s="214" t="s">
        <v>1481</v>
      </c>
      <c r="P204" s="214" t="s">
        <v>4522</v>
      </c>
      <c r="Q204" s="1605"/>
      <c r="R204" s="1582"/>
      <c r="S204" s="1582"/>
    </row>
    <row r="205" spans="1:139" s="146" customFormat="1" ht="18" customHeight="1">
      <c r="A205" s="1605">
        <v>1</v>
      </c>
      <c r="B205" s="1605"/>
      <c r="C205" s="205">
        <v>2</v>
      </c>
      <c r="D205" s="205">
        <v>3</v>
      </c>
      <c r="E205" s="205">
        <v>4</v>
      </c>
      <c r="F205" s="205">
        <v>5</v>
      </c>
      <c r="G205" s="205">
        <v>6</v>
      </c>
      <c r="H205" s="205">
        <v>7</v>
      </c>
      <c r="I205" s="205">
        <v>8</v>
      </c>
      <c r="J205" s="205">
        <v>9</v>
      </c>
      <c r="K205" s="205">
        <v>10</v>
      </c>
      <c r="L205" s="205">
        <v>11</v>
      </c>
      <c r="M205" s="205">
        <v>12</v>
      </c>
      <c r="N205" s="205">
        <v>13</v>
      </c>
      <c r="O205" s="205">
        <v>14</v>
      </c>
      <c r="P205" s="205">
        <v>15</v>
      </c>
      <c r="Q205" s="205">
        <v>16</v>
      </c>
      <c r="R205" s="149">
        <v>18</v>
      </c>
      <c r="S205" s="175">
        <v>19</v>
      </c>
    </row>
    <row r="206" spans="1:139" s="146" customFormat="1" ht="54.95" customHeight="1">
      <c r="A206" s="1606" t="s">
        <v>4854</v>
      </c>
      <c r="B206" s="1606"/>
      <c r="C206" s="1606"/>
      <c r="D206" s="1606"/>
      <c r="E206" s="215">
        <f>E208+E209+E210+E211+E212+E213+E214+E215</f>
        <v>54.686000000000007</v>
      </c>
      <c r="F206" s="215">
        <f t="shared" ref="F206:P206" si="9">F208+F209+F210+F211+F212+F213+F214+F215</f>
        <v>58.74199999999999</v>
      </c>
      <c r="G206" s="215">
        <f t="shared" si="9"/>
        <v>54.356000000000002</v>
      </c>
      <c r="H206" s="215">
        <f t="shared" si="9"/>
        <v>63.646999999999991</v>
      </c>
      <c r="I206" s="215">
        <f t="shared" si="9"/>
        <v>68.11699999999999</v>
      </c>
      <c r="J206" s="215">
        <f t="shared" si="9"/>
        <v>72.812000000000012</v>
      </c>
      <c r="K206" s="215">
        <f t="shared" si="9"/>
        <v>74.648999999999987</v>
      </c>
      <c r="L206" s="215">
        <f t="shared" si="9"/>
        <v>66.53</v>
      </c>
      <c r="M206" s="215">
        <f t="shared" si="9"/>
        <v>58.581000000000003</v>
      </c>
      <c r="N206" s="215">
        <f t="shared" si="9"/>
        <v>68.934000000000012</v>
      </c>
      <c r="O206" s="215">
        <f t="shared" si="9"/>
        <v>71.404000000000011</v>
      </c>
      <c r="P206" s="215">
        <f t="shared" si="9"/>
        <v>68.67</v>
      </c>
      <c r="Q206" s="207">
        <f>SUM(E206:P206)/12</f>
        <v>65.093999999999994</v>
      </c>
      <c r="R206" s="177">
        <v>93</v>
      </c>
      <c r="S206" s="177">
        <v>323</v>
      </c>
    </row>
    <row r="207" spans="1:139" s="1593" customFormat="1" ht="29.25" customHeight="1">
      <c r="A207" s="1585" t="s">
        <v>4837</v>
      </c>
    </row>
    <row r="208" spans="1:139" s="183" customFormat="1" ht="50.1" customHeight="1">
      <c r="A208" s="148" t="s">
        <v>4846</v>
      </c>
      <c r="B208" s="1585" t="s">
        <v>4855</v>
      </c>
      <c r="C208" s="1585"/>
      <c r="D208" s="1585"/>
      <c r="E208" s="178">
        <v>3.5999999999999997E-2</v>
      </c>
      <c r="F208" s="178">
        <v>1.0880000000000001</v>
      </c>
      <c r="G208" s="178">
        <v>1.968</v>
      </c>
      <c r="H208" s="178">
        <v>4.4770000000000003</v>
      </c>
      <c r="I208" s="178">
        <v>4.5579999999999998</v>
      </c>
      <c r="J208" s="178">
        <v>5.0179999999999998</v>
      </c>
      <c r="K208" s="178">
        <v>4.9089999999999998</v>
      </c>
      <c r="L208" s="179">
        <v>3.0760000000000001</v>
      </c>
      <c r="M208" s="178">
        <v>3.0739999999999998</v>
      </c>
      <c r="N208" s="178">
        <v>4.3449999999999998</v>
      </c>
      <c r="O208" s="178">
        <v>0.53400000000000003</v>
      </c>
      <c r="P208" s="178">
        <v>0.36299999999999999</v>
      </c>
      <c r="Q208" s="177">
        <f t="shared" ref="Q208:Q215" si="10">SUM(E208:P208)/12</f>
        <v>2.7871666666666663</v>
      </c>
      <c r="R208" s="180"/>
      <c r="S208" s="181"/>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c r="BP208" s="182"/>
      <c r="BQ208" s="182"/>
      <c r="BR208" s="182"/>
      <c r="BS208" s="182"/>
      <c r="BT208" s="182"/>
      <c r="BU208" s="182"/>
      <c r="BV208" s="182"/>
      <c r="BW208" s="182"/>
      <c r="BX208" s="182"/>
      <c r="BY208" s="182"/>
      <c r="BZ208" s="182"/>
      <c r="CA208" s="182"/>
      <c r="CB208" s="182"/>
      <c r="CC208" s="182"/>
      <c r="CD208" s="182"/>
      <c r="CE208" s="182"/>
      <c r="CF208" s="182"/>
      <c r="CG208" s="182"/>
      <c r="CH208" s="182"/>
      <c r="CI208" s="182"/>
      <c r="CJ208" s="182"/>
      <c r="CK208" s="182"/>
      <c r="CL208" s="182"/>
      <c r="CM208" s="182"/>
      <c r="CN208" s="182"/>
      <c r="CO208" s="182"/>
      <c r="CP208" s="182"/>
      <c r="CQ208" s="182"/>
      <c r="CR208" s="182"/>
      <c r="CS208" s="182"/>
      <c r="CT208" s="182"/>
      <c r="CU208" s="182"/>
      <c r="CV208" s="182"/>
      <c r="CW208" s="182"/>
      <c r="CX208" s="182"/>
      <c r="CY208" s="182"/>
      <c r="CZ208" s="182"/>
      <c r="DA208" s="182"/>
      <c r="DB208" s="182"/>
      <c r="DC208" s="182"/>
      <c r="DD208" s="182"/>
      <c r="DE208" s="182"/>
      <c r="DF208" s="182"/>
      <c r="DG208" s="182"/>
      <c r="DH208" s="182"/>
      <c r="DI208" s="182"/>
      <c r="DJ208" s="182"/>
      <c r="DK208" s="182"/>
      <c r="DL208" s="182"/>
      <c r="DM208" s="182"/>
      <c r="DN208" s="182"/>
      <c r="DO208" s="182"/>
      <c r="DP208" s="182"/>
      <c r="DQ208" s="182"/>
      <c r="DR208" s="182"/>
      <c r="DS208" s="182"/>
      <c r="DT208" s="182"/>
      <c r="DU208" s="182"/>
      <c r="DV208" s="182"/>
      <c r="DW208" s="182"/>
      <c r="DX208" s="182"/>
      <c r="DY208" s="182"/>
      <c r="DZ208" s="182"/>
      <c r="EA208" s="182"/>
      <c r="EB208" s="182"/>
      <c r="EC208" s="182"/>
      <c r="ED208" s="182"/>
      <c r="EE208" s="182"/>
      <c r="EF208" s="182"/>
      <c r="EG208" s="182"/>
      <c r="EH208" s="182"/>
      <c r="EI208" s="182"/>
    </row>
    <row r="209" spans="1:139" s="183" customFormat="1" ht="50.1" customHeight="1">
      <c r="A209" s="148" t="s">
        <v>4847</v>
      </c>
      <c r="B209" s="1585" t="s">
        <v>4855</v>
      </c>
      <c r="C209" s="1585"/>
      <c r="D209" s="1585"/>
      <c r="E209" s="178">
        <v>1.2529999999999999</v>
      </c>
      <c r="F209" s="178">
        <v>1.1639999999999999</v>
      </c>
      <c r="G209" s="178">
        <v>1.778</v>
      </c>
      <c r="H209" s="178">
        <v>2.1999999999999999E-2</v>
      </c>
      <c r="I209" s="178">
        <v>0.41099999999999998</v>
      </c>
      <c r="J209" s="178">
        <v>0.60399999999999998</v>
      </c>
      <c r="K209" s="178">
        <v>0.69099999999999995</v>
      </c>
      <c r="L209" s="178">
        <v>0.72</v>
      </c>
      <c r="M209" s="178">
        <v>0.85399999999999998</v>
      </c>
      <c r="N209" s="178">
        <v>0.84399999999999997</v>
      </c>
      <c r="O209" s="178">
        <v>1.3720000000000001</v>
      </c>
      <c r="P209" s="178">
        <v>0.85499999999999998</v>
      </c>
      <c r="Q209" s="177">
        <f t="shared" si="10"/>
        <v>0.8806666666666666</v>
      </c>
      <c r="R209" s="180"/>
      <c r="S209" s="181"/>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c r="BP209" s="182"/>
      <c r="BQ209" s="182"/>
      <c r="BR209" s="182"/>
      <c r="BS209" s="182"/>
      <c r="BT209" s="182"/>
      <c r="BU209" s="182"/>
      <c r="BV209" s="182"/>
      <c r="BW209" s="182"/>
      <c r="BX209" s="182"/>
      <c r="BY209" s="182"/>
      <c r="BZ209" s="182"/>
      <c r="CA209" s="182"/>
      <c r="CB209" s="182"/>
      <c r="CC209" s="182"/>
      <c r="CD209" s="182"/>
      <c r="CE209" s="182"/>
      <c r="CF209" s="182"/>
      <c r="CG209" s="182"/>
      <c r="CH209" s="182"/>
      <c r="CI209" s="182"/>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2"/>
      <c r="DF209" s="182"/>
      <c r="DG209" s="182"/>
      <c r="DH209" s="182"/>
      <c r="DI209" s="182"/>
      <c r="DJ209" s="182"/>
      <c r="DK209" s="182"/>
      <c r="DL209" s="182"/>
      <c r="DM209" s="182"/>
      <c r="DN209" s="182"/>
      <c r="DO209" s="182"/>
      <c r="DP209" s="182"/>
      <c r="DQ209" s="182"/>
      <c r="DR209" s="182"/>
      <c r="DS209" s="182"/>
      <c r="DT209" s="182"/>
      <c r="DU209" s="182"/>
      <c r="DV209" s="182"/>
      <c r="DW209" s="182"/>
      <c r="DX209" s="182"/>
      <c r="DY209" s="182"/>
      <c r="DZ209" s="182"/>
      <c r="EA209" s="182"/>
      <c r="EB209" s="182"/>
      <c r="EC209" s="182"/>
      <c r="ED209" s="182"/>
      <c r="EE209" s="182"/>
      <c r="EF209" s="182"/>
      <c r="EG209" s="182"/>
      <c r="EH209" s="182"/>
      <c r="EI209" s="182"/>
    </row>
    <row r="210" spans="1:139" s="183" customFormat="1" ht="50.1" customHeight="1">
      <c r="A210" s="148" t="s">
        <v>4848</v>
      </c>
      <c r="B210" s="1585" t="s">
        <v>4855</v>
      </c>
      <c r="C210" s="1585"/>
      <c r="D210" s="1585"/>
      <c r="E210" s="178">
        <v>0.27300000000000002</v>
      </c>
      <c r="F210" s="178">
        <v>0.34699999999999998</v>
      </c>
      <c r="G210" s="178">
        <v>0.218</v>
      </c>
      <c r="H210" s="178">
        <v>0.222</v>
      </c>
      <c r="I210" s="178">
        <v>0.19700000000000001</v>
      </c>
      <c r="J210" s="178">
        <v>0.19800000000000001</v>
      </c>
      <c r="K210" s="178">
        <v>0.20399999999999999</v>
      </c>
      <c r="L210" s="178">
        <v>0.20200000000000001</v>
      </c>
      <c r="M210" s="178">
        <v>0.215</v>
      </c>
      <c r="N210" s="178">
        <v>0.24</v>
      </c>
      <c r="O210" s="178">
        <v>0.26200000000000001</v>
      </c>
      <c r="P210" s="178">
        <v>0.313</v>
      </c>
      <c r="Q210" s="177">
        <f t="shared" si="10"/>
        <v>0.24091666666666667</v>
      </c>
      <c r="R210" s="180"/>
      <c r="S210" s="181"/>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182"/>
      <c r="BW210" s="182"/>
      <c r="BX210" s="182"/>
      <c r="BY210" s="182"/>
      <c r="BZ210" s="182"/>
      <c r="CA210" s="182"/>
      <c r="CB210" s="182"/>
      <c r="CC210" s="182"/>
      <c r="CD210" s="182"/>
      <c r="CE210" s="182"/>
      <c r="CF210" s="182"/>
      <c r="CG210" s="182"/>
      <c r="CH210" s="182"/>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2"/>
      <c r="DF210" s="182"/>
      <c r="DG210" s="182"/>
      <c r="DH210" s="182"/>
      <c r="DI210" s="182"/>
      <c r="DJ210" s="182"/>
      <c r="DK210" s="182"/>
      <c r="DL210" s="182"/>
      <c r="DM210" s="182"/>
      <c r="DN210" s="182"/>
      <c r="DO210" s="182"/>
      <c r="DP210" s="182"/>
      <c r="DQ210" s="182"/>
      <c r="DR210" s="182"/>
      <c r="DS210" s="182"/>
      <c r="DT210" s="182"/>
      <c r="DU210" s="182"/>
      <c r="DV210" s="182"/>
      <c r="DW210" s="182"/>
      <c r="DX210" s="182"/>
      <c r="DY210" s="182"/>
      <c r="DZ210" s="182"/>
      <c r="EA210" s="182"/>
      <c r="EB210" s="182"/>
      <c r="EC210" s="182"/>
      <c r="ED210" s="182"/>
      <c r="EE210" s="182"/>
      <c r="EF210" s="182"/>
      <c r="EG210" s="182"/>
      <c r="EH210" s="182"/>
      <c r="EI210" s="182"/>
    </row>
    <row r="211" spans="1:139" s="183" customFormat="1" ht="50.1" customHeight="1">
      <c r="A211" s="148" t="s">
        <v>4849</v>
      </c>
      <c r="B211" s="1585" t="s">
        <v>4855</v>
      </c>
      <c r="C211" s="1585"/>
      <c r="D211" s="1585"/>
      <c r="E211" s="178">
        <v>18.696000000000002</v>
      </c>
      <c r="F211" s="178">
        <v>25.535</v>
      </c>
      <c r="G211" s="178">
        <v>20.617999999999999</v>
      </c>
      <c r="H211" s="178">
        <v>23.291</v>
      </c>
      <c r="I211" s="178">
        <v>19.568999999999999</v>
      </c>
      <c r="J211" s="178">
        <v>18.597000000000001</v>
      </c>
      <c r="K211" s="178">
        <v>19.919</v>
      </c>
      <c r="L211" s="178">
        <v>15.035</v>
      </c>
      <c r="M211" s="178">
        <v>11.375</v>
      </c>
      <c r="N211" s="178">
        <v>19.045000000000002</v>
      </c>
      <c r="O211" s="178">
        <v>20.222000000000001</v>
      </c>
      <c r="P211" s="178">
        <v>20.268000000000001</v>
      </c>
      <c r="Q211" s="177">
        <f t="shared" si="10"/>
        <v>19.3475</v>
      </c>
      <c r="R211" s="180"/>
      <c r="S211" s="181"/>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c r="EI211" s="182"/>
    </row>
    <row r="212" spans="1:139" s="183" customFormat="1" ht="50.1" customHeight="1">
      <c r="A212" s="156" t="s">
        <v>4856</v>
      </c>
      <c r="B212" s="1585" t="s">
        <v>4855</v>
      </c>
      <c r="C212" s="1585"/>
      <c r="D212" s="1585"/>
      <c r="E212" s="178">
        <v>12.4</v>
      </c>
      <c r="F212" s="178">
        <v>8</v>
      </c>
      <c r="G212" s="178">
        <v>8.8000000000000007</v>
      </c>
      <c r="H212" s="178">
        <v>15.9</v>
      </c>
      <c r="I212" s="178">
        <v>26</v>
      </c>
      <c r="J212" s="178">
        <v>29.5</v>
      </c>
      <c r="K212" s="178">
        <v>28.3</v>
      </c>
      <c r="L212" s="178">
        <v>28.3</v>
      </c>
      <c r="M212" s="178">
        <v>23.8</v>
      </c>
      <c r="N212" s="178">
        <v>23.7</v>
      </c>
      <c r="O212" s="178">
        <v>28.2</v>
      </c>
      <c r="P212" s="178">
        <v>23.8</v>
      </c>
      <c r="Q212" s="177">
        <f t="shared" si="10"/>
        <v>21.391666666666666</v>
      </c>
      <c r="R212" s="180"/>
      <c r="S212" s="181"/>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c r="EI212" s="182"/>
    </row>
    <row r="213" spans="1:139" s="183" customFormat="1" ht="50.1" customHeight="1">
      <c r="A213" s="165" t="s">
        <v>4857</v>
      </c>
      <c r="B213" s="1585" t="s">
        <v>4855</v>
      </c>
      <c r="C213" s="1585"/>
      <c r="D213" s="1585"/>
      <c r="E213" s="178">
        <v>8.2530000000000001</v>
      </c>
      <c r="F213" s="178">
        <v>8.3829999999999991</v>
      </c>
      <c r="G213" s="178">
        <v>7.88</v>
      </c>
      <c r="H213" s="178">
        <v>7.3369999999999997</v>
      </c>
      <c r="I213" s="178">
        <v>7.1109999999999998</v>
      </c>
      <c r="J213" s="178">
        <v>7.7670000000000003</v>
      </c>
      <c r="K213" s="178">
        <v>8.3480000000000008</v>
      </c>
      <c r="L213" s="178">
        <v>7.9210000000000003</v>
      </c>
      <c r="M213" s="178">
        <v>7.1639999999999997</v>
      </c>
      <c r="N213" s="178">
        <v>8.4770000000000003</v>
      </c>
      <c r="O213" s="178">
        <v>7.8479999999999999</v>
      </c>
      <c r="P213" s="178">
        <v>8.7319999999999993</v>
      </c>
      <c r="Q213" s="177">
        <f t="shared" si="10"/>
        <v>7.9350833333333339</v>
      </c>
      <c r="R213" s="180"/>
      <c r="S213" s="181"/>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c r="EI213" s="182"/>
    </row>
    <row r="214" spans="1:139" s="183" customFormat="1" ht="50.1" customHeight="1">
      <c r="A214" s="165" t="s">
        <v>1995</v>
      </c>
      <c r="B214" s="1585" t="s">
        <v>4855</v>
      </c>
      <c r="C214" s="1585"/>
      <c r="D214" s="1585"/>
      <c r="E214" s="178">
        <v>0.98399999999999999</v>
      </c>
      <c r="F214" s="178">
        <v>0.98299999999999998</v>
      </c>
      <c r="G214" s="178">
        <v>0.96699999999999997</v>
      </c>
      <c r="H214" s="178">
        <v>0.89700000000000002</v>
      </c>
      <c r="I214" s="178">
        <v>0.88500000000000001</v>
      </c>
      <c r="J214" s="178">
        <v>1</v>
      </c>
      <c r="K214" s="178">
        <v>1.0649999999999997</v>
      </c>
      <c r="L214" s="178">
        <v>0.97599999999999998</v>
      </c>
      <c r="M214" s="178">
        <v>0.94099999999999995</v>
      </c>
      <c r="N214" s="178">
        <v>0.98699999999999999</v>
      </c>
      <c r="O214" s="178">
        <v>0.95</v>
      </c>
      <c r="P214" s="178">
        <v>1.0489999999999999</v>
      </c>
      <c r="Q214" s="177">
        <f t="shared" si="10"/>
        <v>0.97366666666666657</v>
      </c>
      <c r="R214" s="180"/>
      <c r="S214" s="181"/>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2"/>
      <c r="DF214" s="182"/>
      <c r="DG214" s="182"/>
      <c r="DH214" s="182"/>
      <c r="DI214" s="182"/>
      <c r="DJ214" s="182"/>
      <c r="DK214" s="182"/>
      <c r="DL214" s="182"/>
      <c r="DM214" s="182"/>
      <c r="DN214" s="182"/>
      <c r="DO214" s="182"/>
      <c r="DP214" s="182"/>
      <c r="DQ214" s="182"/>
      <c r="DR214" s="182"/>
      <c r="DS214" s="182"/>
      <c r="DT214" s="182"/>
      <c r="DU214" s="182"/>
      <c r="DV214" s="182"/>
      <c r="DW214" s="182"/>
      <c r="DX214" s="182"/>
      <c r="DY214" s="182"/>
      <c r="DZ214" s="182"/>
      <c r="EA214" s="182"/>
      <c r="EB214" s="182"/>
      <c r="EC214" s="182"/>
      <c r="ED214" s="182"/>
      <c r="EE214" s="182"/>
      <c r="EF214" s="182"/>
      <c r="EG214" s="182"/>
      <c r="EH214" s="182"/>
      <c r="EI214" s="182"/>
    </row>
    <row r="215" spans="1:139" s="183" customFormat="1" ht="50.1" customHeight="1">
      <c r="A215" s="148" t="s">
        <v>4858</v>
      </c>
      <c r="B215" s="1585" t="s">
        <v>4855</v>
      </c>
      <c r="C215" s="1585"/>
      <c r="D215" s="1585"/>
      <c r="E215" s="178">
        <v>12.791</v>
      </c>
      <c r="F215" s="178">
        <v>13.242000000000001</v>
      </c>
      <c r="G215" s="178">
        <v>12.127000000000001</v>
      </c>
      <c r="H215" s="178">
        <v>11.500999999999999</v>
      </c>
      <c r="I215" s="178">
        <v>9.3859999999999992</v>
      </c>
      <c r="J215" s="178">
        <v>10.128</v>
      </c>
      <c r="K215" s="178">
        <v>11.212999999999999</v>
      </c>
      <c r="L215" s="178">
        <v>10.3</v>
      </c>
      <c r="M215" s="178">
        <v>11.157999999999999</v>
      </c>
      <c r="N215" s="178">
        <v>11.295999999999999</v>
      </c>
      <c r="O215" s="178">
        <v>12.016</v>
      </c>
      <c r="P215" s="178">
        <v>13.29</v>
      </c>
      <c r="Q215" s="177">
        <f t="shared" si="10"/>
        <v>11.537333333333335</v>
      </c>
      <c r="R215" s="180"/>
      <c r="S215" s="181"/>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2"/>
      <c r="DF215" s="182"/>
      <c r="DG215" s="182"/>
      <c r="DH215" s="182"/>
      <c r="DI215" s="182"/>
      <c r="DJ215" s="182"/>
      <c r="DK215" s="182"/>
      <c r="DL215" s="182"/>
      <c r="DM215" s="182"/>
      <c r="DN215" s="182"/>
      <c r="DO215" s="182"/>
      <c r="DP215" s="182"/>
      <c r="DQ215" s="182"/>
      <c r="DR215" s="182"/>
      <c r="DS215" s="182"/>
      <c r="DT215" s="182"/>
      <c r="DU215" s="182"/>
      <c r="DV215" s="182"/>
      <c r="DW215" s="182"/>
      <c r="DX215" s="182"/>
      <c r="DY215" s="182"/>
      <c r="DZ215" s="182"/>
      <c r="EA215" s="182"/>
      <c r="EB215" s="182"/>
      <c r="EC215" s="182"/>
      <c r="ED215" s="182"/>
      <c r="EE215" s="182"/>
      <c r="EF215" s="182"/>
      <c r="EG215" s="182"/>
      <c r="EH215" s="182"/>
      <c r="EI215" s="182"/>
    </row>
    <row r="216" spans="1:139" s="146" customFormat="1" ht="30" customHeight="1">
      <c r="A216" s="1598" t="s">
        <v>4859</v>
      </c>
      <c r="B216" s="1598"/>
      <c r="C216" s="1598"/>
      <c r="D216" s="1598"/>
      <c r="E216" s="1598"/>
      <c r="F216" s="1598"/>
      <c r="G216" s="1598"/>
      <c r="H216" s="1598"/>
      <c r="I216" s="1598"/>
      <c r="J216" s="1598"/>
      <c r="K216" s="1598"/>
      <c r="L216" s="1598"/>
      <c r="M216" s="1598"/>
      <c r="N216" s="1598"/>
      <c r="O216" s="1598"/>
      <c r="P216" s="1598"/>
      <c r="Q216" s="184"/>
      <c r="R216" s="185"/>
      <c r="S216" s="164"/>
    </row>
    <row r="217" spans="1:139" s="146" customFormat="1" ht="30.75" customHeight="1">
      <c r="A217" s="1592" t="s">
        <v>1461</v>
      </c>
      <c r="B217" s="1592"/>
      <c r="C217" s="1592"/>
      <c r="D217" s="1592"/>
      <c r="E217" s="186"/>
      <c r="F217" s="186"/>
      <c r="G217" s="186"/>
      <c r="H217" s="186"/>
      <c r="I217" s="186"/>
      <c r="J217" s="186"/>
      <c r="K217" s="186"/>
      <c r="L217" s="186"/>
      <c r="M217" s="186"/>
      <c r="N217" s="186"/>
      <c r="O217" s="186"/>
      <c r="P217" s="186"/>
      <c r="Q217" s="187"/>
      <c r="R217" s="185"/>
      <c r="S217" s="164"/>
    </row>
    <row r="218" spans="1:139" s="146" customFormat="1" ht="60" customHeight="1">
      <c r="A218" s="1597" t="s">
        <v>1462</v>
      </c>
      <c r="B218" s="1597"/>
      <c r="C218" s="1599" t="s">
        <v>1463</v>
      </c>
      <c r="D218" s="1599" t="s">
        <v>1464</v>
      </c>
      <c r="E218" s="1597" t="s">
        <v>4860</v>
      </c>
      <c r="F218" s="1597"/>
      <c r="G218" s="1597"/>
      <c r="H218" s="1597"/>
      <c r="I218" s="1597"/>
      <c r="J218" s="1597"/>
      <c r="K218" s="1597"/>
      <c r="L218" s="1597"/>
      <c r="M218" s="1597"/>
      <c r="N218" s="1597"/>
      <c r="O218" s="1597"/>
      <c r="P218" s="1597"/>
      <c r="Q218" s="1599" t="s">
        <v>1466</v>
      </c>
      <c r="R218" s="1591"/>
      <c r="S218" s="1591"/>
    </row>
    <row r="219" spans="1:139" s="146" customFormat="1" ht="60" customHeight="1">
      <c r="A219" s="1590"/>
      <c r="B219" s="1590"/>
      <c r="C219" s="1582"/>
      <c r="D219" s="1583"/>
      <c r="E219" s="1590" t="s">
        <v>1467</v>
      </c>
      <c r="F219" s="1590"/>
      <c r="G219" s="1590"/>
      <c r="H219" s="1590" t="s">
        <v>1468</v>
      </c>
      <c r="I219" s="1590"/>
      <c r="J219" s="1590"/>
      <c r="K219" s="1590" t="s">
        <v>1469</v>
      </c>
      <c r="L219" s="1590"/>
      <c r="M219" s="1590"/>
      <c r="N219" s="1590" t="s">
        <v>1470</v>
      </c>
      <c r="O219" s="1590"/>
      <c r="P219" s="1590"/>
      <c r="Q219" s="1582"/>
      <c r="R219" s="1591"/>
      <c r="S219" s="1591"/>
    </row>
    <row r="220" spans="1:139" s="146" customFormat="1" ht="60" customHeight="1">
      <c r="A220" s="1590"/>
      <c r="B220" s="1590"/>
      <c r="C220" s="1582"/>
      <c r="D220" s="1583"/>
      <c r="E220" s="147" t="s">
        <v>1471</v>
      </c>
      <c r="F220" s="147" t="s">
        <v>1472</v>
      </c>
      <c r="G220" s="147" t="s">
        <v>1473</v>
      </c>
      <c r="H220" s="147" t="s">
        <v>1474</v>
      </c>
      <c r="I220" s="147" t="s">
        <v>1475</v>
      </c>
      <c r="J220" s="147" t="s">
        <v>1476</v>
      </c>
      <c r="K220" s="147" t="s">
        <v>1477</v>
      </c>
      <c r="L220" s="147" t="s">
        <v>1478</v>
      </c>
      <c r="M220" s="147" t="s">
        <v>1479</v>
      </c>
      <c r="N220" s="147" t="s">
        <v>1480</v>
      </c>
      <c r="O220" s="147" t="s">
        <v>1481</v>
      </c>
      <c r="P220" s="147" t="s">
        <v>4522</v>
      </c>
      <c r="Q220" s="1582"/>
      <c r="R220" s="1591"/>
      <c r="S220" s="1591"/>
    </row>
    <row r="221" spans="1:139" s="146" customFormat="1" ht="18" customHeight="1">
      <c r="A221" s="148">
        <v>1</v>
      </c>
      <c r="B221" s="148">
        <v>2</v>
      </c>
      <c r="C221" s="148">
        <v>3</v>
      </c>
      <c r="D221" s="148">
        <v>4</v>
      </c>
      <c r="E221" s="149">
        <v>5</v>
      </c>
      <c r="F221" s="149">
        <v>6</v>
      </c>
      <c r="G221" s="149">
        <v>7</v>
      </c>
      <c r="H221" s="149">
        <v>8</v>
      </c>
      <c r="I221" s="149">
        <v>9</v>
      </c>
      <c r="J221" s="149">
        <v>10</v>
      </c>
      <c r="K221" s="149">
        <v>11</v>
      </c>
      <c r="L221" s="149">
        <v>12</v>
      </c>
      <c r="M221" s="149">
        <v>13</v>
      </c>
      <c r="N221" s="149">
        <v>14</v>
      </c>
      <c r="O221" s="149">
        <v>15</v>
      </c>
      <c r="P221" s="149">
        <v>16</v>
      </c>
      <c r="Q221" s="149">
        <v>17</v>
      </c>
      <c r="R221" s="150"/>
      <c r="S221" s="151"/>
    </row>
    <row r="222" spans="1:139" s="146" customFormat="1" ht="60" customHeight="1">
      <c r="A222" s="1613" t="s">
        <v>4836</v>
      </c>
      <c r="B222" s="1613"/>
      <c r="C222" s="1613"/>
      <c r="D222" s="1613"/>
      <c r="E222" s="179">
        <f>E227+E228+E229</f>
        <v>1041.212</v>
      </c>
      <c r="F222" s="179">
        <f t="shared" ref="F222:P222" si="11">F227+F228+F229</f>
        <v>1229.7550000000001</v>
      </c>
      <c r="G222" s="179">
        <f t="shared" si="11"/>
        <v>1116.7339999999999</v>
      </c>
      <c r="H222" s="179">
        <f t="shared" si="11"/>
        <v>1049.691</v>
      </c>
      <c r="I222" s="179">
        <f t="shared" si="11"/>
        <v>935.81600000000003</v>
      </c>
      <c r="J222" s="179">
        <f t="shared" si="11"/>
        <v>968.94299999999998</v>
      </c>
      <c r="K222" s="179">
        <f t="shared" si="11"/>
        <v>965.43399999999997</v>
      </c>
      <c r="L222" s="179">
        <f t="shared" si="11"/>
        <v>995.60400000000004</v>
      </c>
      <c r="M222" s="179">
        <f t="shared" si="11"/>
        <v>954.245</v>
      </c>
      <c r="N222" s="179">
        <f t="shared" si="11"/>
        <v>575.31600000000003</v>
      </c>
      <c r="O222" s="179">
        <f t="shared" si="11"/>
        <v>544.16000000000008</v>
      </c>
      <c r="P222" s="179">
        <f t="shared" si="11"/>
        <v>503.25099999999998</v>
      </c>
      <c r="Q222" s="216">
        <f>SUM(E222:P222)</f>
        <v>10880.161000000002</v>
      </c>
      <c r="R222" s="154"/>
      <c r="S222" s="151"/>
    </row>
    <row r="223" spans="1:139" s="146" customFormat="1" ht="27" customHeight="1">
      <c r="A223" s="1614"/>
      <c r="B223" s="1614"/>
      <c r="C223" s="1614"/>
      <c r="D223" s="1614"/>
      <c r="E223" s="1614"/>
      <c r="F223" s="1614"/>
      <c r="G223" s="1614"/>
      <c r="H223" s="1614"/>
      <c r="I223" s="1614"/>
      <c r="J223" s="1614"/>
      <c r="K223" s="1614"/>
      <c r="L223" s="1614"/>
      <c r="M223" s="1614"/>
      <c r="N223" s="1614"/>
      <c r="O223" s="1614"/>
      <c r="P223" s="1614"/>
      <c r="Q223" s="1614"/>
      <c r="R223" s="185"/>
      <c r="S223" s="164"/>
    </row>
    <row r="224" spans="1:139" s="146" customFormat="1" ht="50.1" customHeight="1">
      <c r="A224" s="217" t="s">
        <v>4838</v>
      </c>
      <c r="B224" s="178" t="s">
        <v>4839</v>
      </c>
      <c r="C224" s="178" t="s">
        <v>4840</v>
      </c>
      <c r="D224" s="178" t="s">
        <v>4841</v>
      </c>
      <c r="E224" s="195">
        <f>E222+E225</f>
        <v>2792.212</v>
      </c>
      <c r="F224" s="195">
        <f t="shared" ref="F224:P224" si="12">F225+F222</f>
        <v>2774.7550000000001</v>
      </c>
      <c r="G224" s="195">
        <f t="shared" si="12"/>
        <v>2661.7339999999999</v>
      </c>
      <c r="H224" s="195">
        <f t="shared" si="12"/>
        <v>2285.6909999999998</v>
      </c>
      <c r="I224" s="195">
        <f t="shared" si="12"/>
        <v>2068.8159999999998</v>
      </c>
      <c r="J224" s="195">
        <f t="shared" si="12"/>
        <v>1998.943</v>
      </c>
      <c r="K224" s="195">
        <f t="shared" si="12"/>
        <v>2098.4340000000002</v>
      </c>
      <c r="L224" s="195">
        <f t="shared" si="12"/>
        <v>1994.604</v>
      </c>
      <c r="M224" s="195">
        <f t="shared" si="12"/>
        <v>2036.2449999999999</v>
      </c>
      <c r="N224" s="195">
        <f t="shared" si="12"/>
        <v>1863.316</v>
      </c>
      <c r="O224" s="195">
        <f t="shared" si="12"/>
        <v>1986.16</v>
      </c>
      <c r="P224" s="195">
        <f t="shared" si="12"/>
        <v>2308.2510000000002</v>
      </c>
      <c r="Q224" s="177">
        <f>SUM(E224:P224)</f>
        <v>26869.160999999996</v>
      </c>
      <c r="R224" s="185"/>
      <c r="S224" s="164"/>
    </row>
    <row r="225" spans="1:19" s="146" customFormat="1" ht="50.1" customHeight="1">
      <c r="A225" s="178" t="s">
        <v>4844</v>
      </c>
      <c r="B225" s="178" t="s">
        <v>4839</v>
      </c>
      <c r="C225" s="178" t="s">
        <v>4840</v>
      </c>
      <c r="D225" s="178" t="s">
        <v>4842</v>
      </c>
      <c r="E225" s="195">
        <v>1751</v>
      </c>
      <c r="F225" s="195">
        <v>1545</v>
      </c>
      <c r="G225" s="195">
        <v>1545</v>
      </c>
      <c r="H225" s="195">
        <v>1236</v>
      </c>
      <c r="I225" s="195">
        <v>1133</v>
      </c>
      <c r="J225" s="195">
        <v>1030</v>
      </c>
      <c r="K225" s="195">
        <v>1133</v>
      </c>
      <c r="L225" s="195">
        <v>999</v>
      </c>
      <c r="M225" s="195">
        <v>1082</v>
      </c>
      <c r="N225" s="195">
        <v>1288</v>
      </c>
      <c r="O225" s="195">
        <v>1442</v>
      </c>
      <c r="P225" s="195">
        <v>1805</v>
      </c>
      <c r="Q225" s="177">
        <f>SUM(E225:P225)</f>
        <v>15989</v>
      </c>
      <c r="R225" s="185"/>
      <c r="S225" s="164"/>
    </row>
    <row r="226" spans="1:19" s="146" customFormat="1" ht="39.950000000000003" customHeight="1">
      <c r="A226" s="1611" t="s">
        <v>4845</v>
      </c>
      <c r="B226" s="1611"/>
      <c r="C226" s="1611"/>
      <c r="D226" s="1611"/>
      <c r="E226" s="1611"/>
      <c r="F226" s="1611"/>
      <c r="G226" s="1611"/>
      <c r="H226" s="1611"/>
      <c r="I226" s="1611"/>
      <c r="J226" s="1611"/>
      <c r="K226" s="1611"/>
      <c r="L226" s="1611"/>
      <c r="M226" s="1611"/>
      <c r="N226" s="1611"/>
      <c r="O226" s="1611"/>
      <c r="P226" s="1611"/>
      <c r="Q226" s="1611"/>
      <c r="R226" s="185"/>
      <c r="S226" s="164"/>
    </row>
    <row r="227" spans="1:19" s="146" customFormat="1" ht="50.1" customHeight="1">
      <c r="A227" s="178" t="s">
        <v>4846</v>
      </c>
      <c r="B227" s="1612" t="s">
        <v>4839</v>
      </c>
      <c r="C227" s="1612"/>
      <c r="D227" s="1612"/>
      <c r="E227" s="178">
        <v>0</v>
      </c>
      <c r="F227" s="178">
        <v>0</v>
      </c>
      <c r="G227" s="178">
        <v>0</v>
      </c>
      <c r="H227" s="178">
        <v>0</v>
      </c>
      <c r="I227" s="178">
        <v>0</v>
      </c>
      <c r="J227" s="178">
        <v>0</v>
      </c>
      <c r="K227" s="178">
        <v>0</v>
      </c>
      <c r="L227" s="178">
        <v>0</v>
      </c>
      <c r="M227" s="178">
        <v>0</v>
      </c>
      <c r="N227" s="178">
        <v>0</v>
      </c>
      <c r="O227" s="178">
        <v>0</v>
      </c>
      <c r="P227" s="178">
        <v>0</v>
      </c>
      <c r="Q227" s="218">
        <f>SUM(E227:P227)</f>
        <v>0</v>
      </c>
      <c r="R227" s="185"/>
      <c r="S227" s="164"/>
    </row>
    <row r="228" spans="1:19" s="146" customFormat="1" ht="50.1" customHeight="1">
      <c r="A228" s="178" t="s">
        <v>4847</v>
      </c>
      <c r="B228" s="1612" t="s">
        <v>4839</v>
      </c>
      <c r="C228" s="1612"/>
      <c r="D228" s="1612"/>
      <c r="E228" s="178">
        <v>44</v>
      </c>
      <c r="F228" s="219">
        <v>39</v>
      </c>
      <c r="G228" s="219">
        <v>45</v>
      </c>
      <c r="H228" s="219">
        <v>36</v>
      </c>
      <c r="I228" s="219">
        <v>33</v>
      </c>
      <c r="J228" s="219">
        <v>32</v>
      </c>
      <c r="K228" s="219">
        <v>37</v>
      </c>
      <c r="L228" s="219">
        <v>35</v>
      </c>
      <c r="M228" s="219">
        <v>31</v>
      </c>
      <c r="N228" s="219">
        <v>45</v>
      </c>
      <c r="O228" s="219">
        <v>39</v>
      </c>
      <c r="P228" s="219">
        <v>44</v>
      </c>
      <c r="Q228" s="218">
        <f>SUM(E228:P228)</f>
        <v>460</v>
      </c>
      <c r="R228" s="185"/>
      <c r="S228" s="164"/>
    </row>
    <row r="229" spans="1:19" s="146" customFormat="1" ht="50.1" customHeight="1">
      <c r="A229" s="178" t="s">
        <v>4848</v>
      </c>
      <c r="B229" s="1612" t="s">
        <v>4839</v>
      </c>
      <c r="C229" s="1612"/>
      <c r="D229" s="1612"/>
      <c r="E229" s="178">
        <v>997.21199999999999</v>
      </c>
      <c r="F229" s="195">
        <v>1190.7550000000001</v>
      </c>
      <c r="G229" s="195">
        <v>1071.7339999999999</v>
      </c>
      <c r="H229" s="195">
        <v>1013.691</v>
      </c>
      <c r="I229" s="195">
        <v>902.81600000000003</v>
      </c>
      <c r="J229" s="195">
        <v>936.94299999999998</v>
      </c>
      <c r="K229" s="195">
        <v>928.43399999999997</v>
      </c>
      <c r="L229" s="195">
        <v>960.60400000000004</v>
      </c>
      <c r="M229" s="195">
        <v>923.245</v>
      </c>
      <c r="N229" s="195">
        <v>530.31600000000003</v>
      </c>
      <c r="O229" s="195">
        <v>505.16</v>
      </c>
      <c r="P229" s="195">
        <v>459.25099999999998</v>
      </c>
      <c r="Q229" s="218">
        <f>SUM(E229:P229)</f>
        <v>10420.161000000002</v>
      </c>
      <c r="R229" s="185"/>
      <c r="S229" s="164"/>
    </row>
    <row r="230" spans="1:19" s="146" customFormat="1" ht="36.75" customHeight="1">
      <c r="A230" s="1594" t="s">
        <v>4850</v>
      </c>
      <c r="B230" s="1594"/>
      <c r="C230" s="1594"/>
      <c r="D230" s="1594"/>
      <c r="E230" s="1594"/>
      <c r="F230" s="1594"/>
      <c r="G230" s="1594"/>
      <c r="H230" s="1594"/>
      <c r="I230" s="1594"/>
      <c r="J230" s="1594"/>
      <c r="K230" s="1594"/>
      <c r="L230" s="1594"/>
      <c r="M230" s="1594"/>
      <c r="N230" s="1594"/>
      <c r="O230" s="1594"/>
      <c r="P230" s="1594"/>
      <c r="Q230" s="1594"/>
      <c r="R230" s="185"/>
      <c r="S230" s="164"/>
    </row>
    <row r="231" spans="1:19" s="146" customFormat="1" ht="50.1" customHeight="1">
      <c r="A231" s="1590" t="s">
        <v>1462</v>
      </c>
      <c r="B231" s="1590"/>
      <c r="C231" s="1582" t="s">
        <v>1463</v>
      </c>
      <c r="D231" s="1582" t="s">
        <v>1464</v>
      </c>
      <c r="E231" s="1590" t="s">
        <v>4851</v>
      </c>
      <c r="F231" s="1590"/>
      <c r="G231" s="1590"/>
      <c r="H231" s="1590"/>
      <c r="I231" s="1590"/>
      <c r="J231" s="1590"/>
      <c r="K231" s="1590"/>
      <c r="L231" s="1590"/>
      <c r="M231" s="1590"/>
      <c r="N231" s="1590"/>
      <c r="O231" s="1590"/>
      <c r="P231" s="1590"/>
      <c r="Q231" s="1582" t="s">
        <v>1466</v>
      </c>
      <c r="R231" s="1582" t="s">
        <v>4852</v>
      </c>
      <c r="S231" s="1582" t="s">
        <v>4853</v>
      </c>
    </row>
    <row r="232" spans="1:19" s="146" customFormat="1" ht="50.1" customHeight="1">
      <c r="A232" s="1590"/>
      <c r="B232" s="1590"/>
      <c r="C232" s="1582"/>
      <c r="D232" s="1583"/>
      <c r="E232" s="1590" t="s">
        <v>1467</v>
      </c>
      <c r="F232" s="1590"/>
      <c r="G232" s="1590"/>
      <c r="H232" s="1590" t="s">
        <v>1468</v>
      </c>
      <c r="I232" s="1590"/>
      <c r="J232" s="1590"/>
      <c r="K232" s="1590" t="s">
        <v>1469</v>
      </c>
      <c r="L232" s="1590"/>
      <c r="M232" s="1590"/>
      <c r="N232" s="1590" t="s">
        <v>1470</v>
      </c>
      <c r="O232" s="1590"/>
      <c r="P232" s="1590"/>
      <c r="Q232" s="1582"/>
      <c r="R232" s="1582"/>
      <c r="S232" s="1582"/>
    </row>
    <row r="233" spans="1:19" s="146" customFormat="1" ht="50.1" customHeight="1">
      <c r="A233" s="1590"/>
      <c r="B233" s="1590"/>
      <c r="C233" s="1582"/>
      <c r="D233" s="1583"/>
      <c r="E233" s="147" t="s">
        <v>1471</v>
      </c>
      <c r="F233" s="147" t="s">
        <v>1472</v>
      </c>
      <c r="G233" s="147" t="s">
        <v>1473</v>
      </c>
      <c r="H233" s="147" t="s">
        <v>1474</v>
      </c>
      <c r="I233" s="147" t="s">
        <v>1475</v>
      </c>
      <c r="J233" s="147" t="s">
        <v>1476</v>
      </c>
      <c r="K233" s="147" t="s">
        <v>1477</v>
      </c>
      <c r="L233" s="147" t="s">
        <v>1478</v>
      </c>
      <c r="M233" s="147" t="s">
        <v>1479</v>
      </c>
      <c r="N233" s="147" t="s">
        <v>1480</v>
      </c>
      <c r="O233" s="147" t="s">
        <v>1481</v>
      </c>
      <c r="P233" s="147" t="s">
        <v>4522</v>
      </c>
      <c r="Q233" s="1582"/>
      <c r="R233" s="1582"/>
      <c r="S233" s="1582"/>
    </row>
    <row r="234" spans="1:19" s="146" customFormat="1" ht="24.75" customHeight="1">
      <c r="A234" s="1582">
        <v>1</v>
      </c>
      <c r="B234" s="1582"/>
      <c r="C234" s="148">
        <v>2</v>
      </c>
      <c r="D234" s="148">
        <v>3</v>
      </c>
      <c r="E234" s="148">
        <v>4</v>
      </c>
      <c r="F234" s="148">
        <v>5</v>
      </c>
      <c r="G234" s="148">
        <v>6</v>
      </c>
      <c r="H234" s="148">
        <v>7</v>
      </c>
      <c r="I234" s="148">
        <v>8</v>
      </c>
      <c r="J234" s="148">
        <v>9</v>
      </c>
      <c r="K234" s="148">
        <v>10</v>
      </c>
      <c r="L234" s="148">
        <v>11</v>
      </c>
      <c r="M234" s="148">
        <v>12</v>
      </c>
      <c r="N234" s="148">
        <v>13</v>
      </c>
      <c r="O234" s="148">
        <v>14</v>
      </c>
      <c r="P234" s="148">
        <v>15</v>
      </c>
      <c r="Q234" s="148">
        <v>16</v>
      </c>
      <c r="R234" s="149">
        <v>18</v>
      </c>
      <c r="S234" s="175">
        <v>19</v>
      </c>
    </row>
    <row r="235" spans="1:19" s="146" customFormat="1" ht="50.1" customHeight="1">
      <c r="A235" s="1595" t="s">
        <v>4854</v>
      </c>
      <c r="B235" s="1595"/>
      <c r="C235" s="1595"/>
      <c r="D235" s="1595"/>
      <c r="E235" s="176">
        <f>E237+E238+E239+E240</f>
        <v>4.8220000000000001</v>
      </c>
      <c r="F235" s="176">
        <f t="shared" ref="F235:P235" si="13">F237+F238+F239+F240</f>
        <v>5.1660000000000004</v>
      </c>
      <c r="G235" s="176">
        <f t="shared" si="13"/>
        <v>4.6319999999999997</v>
      </c>
      <c r="H235" s="176">
        <f t="shared" si="13"/>
        <v>4.1479999999999997</v>
      </c>
      <c r="I235" s="176">
        <f t="shared" si="13"/>
        <v>3.63</v>
      </c>
      <c r="J235" s="176">
        <f t="shared" si="13"/>
        <v>3.6459999999999999</v>
      </c>
      <c r="K235" s="176">
        <f t="shared" si="13"/>
        <v>3.6840000000000002</v>
      </c>
      <c r="L235" s="176">
        <f t="shared" si="13"/>
        <v>3.5309999999999997</v>
      </c>
      <c r="M235" s="176">
        <f t="shared" si="13"/>
        <v>3.706</v>
      </c>
      <c r="N235" s="176">
        <f t="shared" si="13"/>
        <v>3.1619999999999999</v>
      </c>
      <c r="O235" s="176">
        <f>O237+O238+O239+O240</f>
        <v>3.4740000000000002</v>
      </c>
      <c r="P235" s="176">
        <f t="shared" si="13"/>
        <v>3.867</v>
      </c>
      <c r="Q235" s="177">
        <f>SUM(E235:P235)/12</f>
        <v>3.9556666666666662</v>
      </c>
      <c r="R235" s="177">
        <v>13.6</v>
      </c>
      <c r="S235" s="177">
        <v>32</v>
      </c>
    </row>
    <row r="236" spans="1:19" s="194" customFormat="1" ht="29.25" customHeight="1">
      <c r="A236" s="1586" t="s">
        <v>4837</v>
      </c>
      <c r="B236" s="1587"/>
      <c r="C236" s="1587"/>
      <c r="D236" s="1587"/>
      <c r="E236" s="1587"/>
      <c r="F236" s="1587"/>
      <c r="G236" s="1587"/>
      <c r="H236" s="1587"/>
      <c r="I236" s="1587"/>
      <c r="J236" s="1587"/>
      <c r="K236" s="1587"/>
      <c r="L236" s="1587"/>
      <c r="M236" s="1587"/>
      <c r="N236" s="1587"/>
      <c r="O236" s="1587"/>
      <c r="P236" s="1587"/>
      <c r="Q236" s="1587"/>
      <c r="R236" s="1587"/>
      <c r="S236" s="1588"/>
    </row>
    <row r="237" spans="1:19" s="146" customFormat="1" ht="50.1" customHeight="1">
      <c r="A237" s="148" t="s">
        <v>4846</v>
      </c>
      <c r="B237" s="1585" t="s">
        <v>4855</v>
      </c>
      <c r="C237" s="1585"/>
      <c r="D237" s="1585"/>
      <c r="E237" s="195">
        <v>0</v>
      </c>
      <c r="F237" s="195">
        <v>0</v>
      </c>
      <c r="G237" s="195">
        <v>0</v>
      </c>
      <c r="H237" s="195">
        <v>0</v>
      </c>
      <c r="I237" s="195">
        <v>0</v>
      </c>
      <c r="J237" s="195">
        <v>0</v>
      </c>
      <c r="K237" s="195">
        <v>0</v>
      </c>
      <c r="L237" s="195">
        <v>0</v>
      </c>
      <c r="M237" s="195">
        <v>0</v>
      </c>
      <c r="N237" s="195">
        <v>0</v>
      </c>
      <c r="O237" s="195">
        <v>0</v>
      </c>
      <c r="P237" s="195">
        <v>0</v>
      </c>
      <c r="Q237" s="177">
        <f>SUM(E237:P237)/12</f>
        <v>0</v>
      </c>
      <c r="R237" s="196"/>
      <c r="S237" s="181"/>
    </row>
    <row r="238" spans="1:19" s="146" customFormat="1" ht="50.1" customHeight="1">
      <c r="A238" s="148" t="s">
        <v>4847</v>
      </c>
      <c r="B238" s="1585" t="s">
        <v>4855</v>
      </c>
      <c r="C238" s="1585"/>
      <c r="D238" s="1585"/>
      <c r="E238" s="195">
        <v>6.8000000000000005E-2</v>
      </c>
      <c r="F238" s="195">
        <v>7.0000000000000007E-2</v>
      </c>
      <c r="G238" s="195">
        <v>6.7000000000000004E-2</v>
      </c>
      <c r="H238" s="195">
        <v>6.0999999999999999E-2</v>
      </c>
      <c r="I238" s="195">
        <v>5.6000000000000001E-2</v>
      </c>
      <c r="J238" s="195">
        <v>5.7000000000000002E-2</v>
      </c>
      <c r="K238" s="195">
        <v>6.0999999999999999E-2</v>
      </c>
      <c r="L238" s="195">
        <v>6.0999999999999999E-2</v>
      </c>
      <c r="M238" s="195">
        <v>5.7000000000000002E-2</v>
      </c>
      <c r="N238" s="195">
        <v>5.8999999999999997E-2</v>
      </c>
      <c r="O238" s="195">
        <v>6.0999999999999999E-2</v>
      </c>
      <c r="P238" s="195">
        <v>6.8000000000000005E-2</v>
      </c>
      <c r="Q238" s="177">
        <f>SUM(E238:P238)/12</f>
        <v>6.2166666666666669E-2</v>
      </c>
      <c r="R238" s="196"/>
      <c r="S238" s="181"/>
    </row>
    <row r="239" spans="1:19" s="146" customFormat="1" ht="50.1" customHeight="1">
      <c r="A239" s="148" t="s">
        <v>4848</v>
      </c>
      <c r="B239" s="1585" t="s">
        <v>4855</v>
      </c>
      <c r="C239" s="1585"/>
      <c r="D239" s="1585"/>
      <c r="E239" s="195">
        <v>1.93</v>
      </c>
      <c r="F239" s="195">
        <v>2.3380000000000001</v>
      </c>
      <c r="G239" s="195">
        <v>2.0739999999999998</v>
      </c>
      <c r="H239" s="195">
        <v>2.0270000000000001</v>
      </c>
      <c r="I239" s="195">
        <v>1.7470000000000001</v>
      </c>
      <c r="J239" s="195">
        <v>1.873</v>
      </c>
      <c r="K239" s="195">
        <v>1.796</v>
      </c>
      <c r="L239" s="195">
        <v>1.859</v>
      </c>
      <c r="M239" s="195">
        <v>1.8460000000000001</v>
      </c>
      <c r="N239" s="195">
        <v>1.026</v>
      </c>
      <c r="O239" s="195">
        <v>1.01</v>
      </c>
      <c r="P239" s="195">
        <v>0.88800000000000001</v>
      </c>
      <c r="Q239" s="177">
        <f>SUM(E239:P239)/12</f>
        <v>1.7011666666666667</v>
      </c>
      <c r="R239" s="196"/>
      <c r="S239" s="181"/>
    </row>
    <row r="240" spans="1:19" customFormat="1" ht="50.1" customHeight="1">
      <c r="A240" s="197" t="s">
        <v>4844</v>
      </c>
      <c r="B240" s="1585" t="s">
        <v>4855</v>
      </c>
      <c r="C240" s="1585"/>
      <c r="D240" s="1585"/>
      <c r="E240" s="198">
        <v>2.8239999999999998</v>
      </c>
      <c r="F240" s="198">
        <v>2.758</v>
      </c>
      <c r="G240" s="198">
        <v>2.4910000000000001</v>
      </c>
      <c r="H240" s="198">
        <v>2.06</v>
      </c>
      <c r="I240" s="198">
        <v>1.827</v>
      </c>
      <c r="J240" s="198">
        <v>1.716</v>
      </c>
      <c r="K240" s="198">
        <v>1.827</v>
      </c>
      <c r="L240" s="198">
        <v>1.611</v>
      </c>
      <c r="M240" s="198">
        <v>1.8029999999999999</v>
      </c>
      <c r="N240" s="198">
        <v>2.077</v>
      </c>
      <c r="O240" s="198">
        <v>2.403</v>
      </c>
      <c r="P240" s="198">
        <v>2.911</v>
      </c>
      <c r="Q240" s="177">
        <f>SUM(E240:P240)/12</f>
        <v>2.1923333333333335</v>
      </c>
      <c r="R240" s="199"/>
      <c r="S240" s="199"/>
    </row>
    <row r="241" spans="1:19" s="200" customFormat="1" ht="17.25" customHeight="1"/>
    <row r="242" spans="1:19" s="201" customFormat="1" ht="27" customHeight="1">
      <c r="A242" s="1600" t="s">
        <v>671</v>
      </c>
      <c r="B242" s="1600"/>
      <c r="C242" s="1600"/>
      <c r="D242" s="1600"/>
      <c r="E242" s="1600"/>
      <c r="F242" s="1600"/>
      <c r="G242" s="1600"/>
      <c r="H242" s="1600"/>
      <c r="I242" s="1600"/>
      <c r="J242" s="1600"/>
      <c r="K242" s="1600"/>
      <c r="L242" s="1600"/>
      <c r="M242" s="1600"/>
      <c r="N242" s="1600"/>
      <c r="O242" s="1600"/>
      <c r="P242" s="1600"/>
      <c r="Q242" s="1600"/>
      <c r="R242" s="1600"/>
      <c r="S242" s="1600"/>
    </row>
    <row r="243" spans="1:19" customFormat="1" ht="26.25">
      <c r="A243" s="1601" t="s">
        <v>1459</v>
      </c>
      <c r="B243" s="1601"/>
      <c r="C243" s="1601"/>
      <c r="D243" s="1601"/>
      <c r="E243" s="1601"/>
      <c r="F243" s="1601"/>
      <c r="G243" s="1601"/>
      <c r="H243" s="1601"/>
      <c r="I243" s="1601"/>
      <c r="J243" s="1601"/>
      <c r="K243" s="1601"/>
      <c r="L243" s="1601"/>
      <c r="M243" s="1601"/>
      <c r="N243" s="1601"/>
      <c r="O243" s="1601"/>
      <c r="P243" s="1601"/>
      <c r="Q243" s="1601"/>
      <c r="R243" s="1601"/>
      <c r="S243" s="1601"/>
    </row>
    <row r="244" spans="1:19" customFormat="1" ht="27.75" customHeight="1">
      <c r="A244" s="1594" t="s">
        <v>1460</v>
      </c>
      <c r="B244" s="1594"/>
      <c r="C244" s="1594"/>
      <c r="D244" s="1594"/>
      <c r="E244" s="1594"/>
      <c r="F244" s="1594"/>
      <c r="G244" s="1594"/>
      <c r="H244" s="1594"/>
      <c r="I244" s="1594"/>
      <c r="J244" s="1594"/>
      <c r="K244" s="1594"/>
      <c r="L244" s="1594"/>
      <c r="M244" s="1594"/>
      <c r="N244" s="1594"/>
      <c r="O244" s="1594"/>
      <c r="P244" s="1594"/>
      <c r="Q244" s="144"/>
      <c r="R244" s="144"/>
      <c r="S244" s="144"/>
    </row>
    <row r="245" spans="1:19" customFormat="1" ht="24.95" customHeight="1">
      <c r="A245" s="1592" t="s">
        <v>1461</v>
      </c>
      <c r="B245" s="1592"/>
      <c r="C245" s="1592"/>
      <c r="D245" s="1592"/>
      <c r="E245" s="145"/>
      <c r="F245" s="145"/>
      <c r="G245" s="145"/>
      <c r="H245" s="145"/>
      <c r="I245" s="145"/>
      <c r="J245" s="145"/>
      <c r="K245" s="145"/>
      <c r="L245" s="145"/>
      <c r="M245" s="145"/>
      <c r="N245" s="145"/>
      <c r="O245" s="145"/>
      <c r="P245" s="145"/>
      <c r="Q245" s="144"/>
      <c r="R245" s="144"/>
      <c r="S245" s="144"/>
    </row>
    <row r="246" spans="1:19" s="146" customFormat="1" ht="46.5" customHeight="1">
      <c r="A246" s="1590" t="s">
        <v>1462</v>
      </c>
      <c r="B246" s="1590"/>
      <c r="C246" s="1582" t="s">
        <v>1463</v>
      </c>
      <c r="D246" s="1582" t="s">
        <v>1464</v>
      </c>
      <c r="E246" s="1590" t="s">
        <v>1465</v>
      </c>
      <c r="F246" s="1590"/>
      <c r="G246" s="1590"/>
      <c r="H246" s="1590"/>
      <c r="I246" s="1590"/>
      <c r="J246" s="1590"/>
      <c r="K246" s="1590"/>
      <c r="L246" s="1590"/>
      <c r="M246" s="1590"/>
      <c r="N246" s="1590"/>
      <c r="O246" s="1590"/>
      <c r="P246" s="1590"/>
      <c r="Q246" s="1582" t="s">
        <v>1466</v>
      </c>
      <c r="R246" s="1591"/>
      <c r="S246" s="1591"/>
    </row>
    <row r="247" spans="1:19" s="146" customFormat="1" ht="60" customHeight="1">
      <c r="A247" s="1590"/>
      <c r="B247" s="1590"/>
      <c r="C247" s="1582"/>
      <c r="D247" s="1583"/>
      <c r="E247" s="1590" t="s">
        <v>1467</v>
      </c>
      <c r="F247" s="1590"/>
      <c r="G247" s="1590"/>
      <c r="H247" s="1590" t="s">
        <v>1468</v>
      </c>
      <c r="I247" s="1590"/>
      <c r="J247" s="1590"/>
      <c r="K247" s="1590" t="s">
        <v>1469</v>
      </c>
      <c r="L247" s="1590"/>
      <c r="M247" s="1590"/>
      <c r="N247" s="1590" t="s">
        <v>1470</v>
      </c>
      <c r="O247" s="1590"/>
      <c r="P247" s="1590"/>
      <c r="Q247" s="1582"/>
      <c r="R247" s="1591"/>
      <c r="S247" s="1591"/>
    </row>
    <row r="248" spans="1:19" s="146" customFormat="1" ht="31.5" customHeight="1">
      <c r="A248" s="1590"/>
      <c r="B248" s="1590"/>
      <c r="C248" s="1582"/>
      <c r="D248" s="1583"/>
      <c r="E248" s="147" t="s">
        <v>1471</v>
      </c>
      <c r="F248" s="147" t="s">
        <v>1472</v>
      </c>
      <c r="G248" s="147" t="s">
        <v>1473</v>
      </c>
      <c r="H248" s="147" t="s">
        <v>1474</v>
      </c>
      <c r="I248" s="147" t="s">
        <v>1475</v>
      </c>
      <c r="J248" s="147" t="s">
        <v>1476</v>
      </c>
      <c r="K248" s="147" t="s">
        <v>1477</v>
      </c>
      <c r="L248" s="147" t="s">
        <v>1478</v>
      </c>
      <c r="M248" s="147" t="s">
        <v>1479</v>
      </c>
      <c r="N248" s="147" t="s">
        <v>1480</v>
      </c>
      <c r="O248" s="147" t="s">
        <v>1481</v>
      </c>
      <c r="P248" s="147" t="s">
        <v>4522</v>
      </c>
      <c r="Q248" s="1582"/>
      <c r="R248" s="1591"/>
      <c r="S248" s="1591"/>
    </row>
    <row r="249" spans="1:19" s="146" customFormat="1" ht="18" customHeight="1">
      <c r="A249" s="148">
        <v>1</v>
      </c>
      <c r="B249" s="148">
        <v>2</v>
      </c>
      <c r="C249" s="148">
        <v>3</v>
      </c>
      <c r="D249" s="148">
        <v>4</v>
      </c>
      <c r="E249" s="149">
        <v>5</v>
      </c>
      <c r="F249" s="149">
        <v>6</v>
      </c>
      <c r="G249" s="149">
        <v>7</v>
      </c>
      <c r="H249" s="149">
        <v>8</v>
      </c>
      <c r="I249" s="149">
        <v>9</v>
      </c>
      <c r="J249" s="149">
        <v>10</v>
      </c>
      <c r="K249" s="149">
        <v>11</v>
      </c>
      <c r="L249" s="149">
        <v>12</v>
      </c>
      <c r="M249" s="149">
        <v>13</v>
      </c>
      <c r="N249" s="149">
        <v>14</v>
      </c>
      <c r="O249" s="149">
        <v>15</v>
      </c>
      <c r="P249" s="149">
        <v>16</v>
      </c>
      <c r="Q249" s="149">
        <v>17</v>
      </c>
      <c r="R249" s="150"/>
      <c r="S249" s="151"/>
    </row>
    <row r="250" spans="1:19" s="146" customFormat="1" ht="60" customHeight="1">
      <c r="A250" s="1584" t="s">
        <v>4836</v>
      </c>
      <c r="B250" s="1584"/>
      <c r="C250" s="1584"/>
      <c r="D250" s="1584"/>
      <c r="E250" s="202">
        <f>E258+E259+E260+E261</f>
        <v>12456.17</v>
      </c>
      <c r="F250" s="202">
        <f t="shared" ref="F250:P250" si="14">F258+F259+F260+F261</f>
        <v>14794.88</v>
      </c>
      <c r="G250" s="202">
        <f t="shared" si="14"/>
        <v>14324.560000000001</v>
      </c>
      <c r="H250" s="202">
        <f t="shared" si="14"/>
        <v>14554.82</v>
      </c>
      <c r="I250" s="202">
        <f t="shared" si="14"/>
        <v>13179.03</v>
      </c>
      <c r="J250" s="202">
        <f t="shared" si="14"/>
        <v>12378.85</v>
      </c>
      <c r="K250" s="202">
        <f t="shared" si="14"/>
        <v>13696.32</v>
      </c>
      <c r="L250" s="202">
        <f t="shared" si="14"/>
        <v>5958.05</v>
      </c>
      <c r="M250" s="202">
        <f t="shared" si="14"/>
        <v>10670.560000000001</v>
      </c>
      <c r="N250" s="202">
        <f t="shared" si="14"/>
        <v>12190.15</v>
      </c>
      <c r="O250" s="202">
        <f t="shared" si="14"/>
        <v>10413.799999999999</v>
      </c>
      <c r="P250" s="202">
        <f t="shared" si="14"/>
        <v>11687.66</v>
      </c>
      <c r="Q250" s="203">
        <f>SUM(E250:P250)</f>
        <v>146304.85</v>
      </c>
      <c r="R250" s="154"/>
      <c r="S250" s="151"/>
    </row>
    <row r="251" spans="1:19" s="146" customFormat="1" ht="27" customHeight="1">
      <c r="A251" s="1586" t="s">
        <v>4837</v>
      </c>
      <c r="B251" s="1587"/>
      <c r="C251" s="1587"/>
      <c r="D251" s="1587"/>
      <c r="E251" s="1587"/>
      <c r="F251" s="1587"/>
      <c r="G251" s="1587"/>
      <c r="H251" s="1587"/>
      <c r="I251" s="1587"/>
      <c r="J251" s="1587"/>
      <c r="K251" s="1587"/>
      <c r="L251" s="1587"/>
      <c r="M251" s="1587"/>
      <c r="N251" s="1587"/>
      <c r="O251" s="1587"/>
      <c r="P251" s="1587"/>
      <c r="Q251" s="1588"/>
      <c r="R251" s="155"/>
      <c r="S251" s="155"/>
    </row>
    <row r="252" spans="1:19" s="146" customFormat="1" ht="50.1" customHeight="1">
      <c r="A252" s="204" t="s">
        <v>4838</v>
      </c>
      <c r="B252" s="205" t="s">
        <v>4839</v>
      </c>
      <c r="C252" s="205" t="s">
        <v>4840</v>
      </c>
      <c r="D252" s="205" t="s">
        <v>4841</v>
      </c>
      <c r="E252" s="206">
        <f>E250+E253+E254+E255+E256</f>
        <v>44902.557999999997</v>
      </c>
      <c r="F252" s="206">
        <f t="shared" ref="F252:P252" si="15">F250+F253+F254+F255+F256</f>
        <v>43366.79</v>
      </c>
      <c r="G252" s="206">
        <f t="shared" si="15"/>
        <v>43180.709000000003</v>
      </c>
      <c r="H252" s="206">
        <f t="shared" si="15"/>
        <v>40046.606</v>
      </c>
      <c r="I252" s="206">
        <f t="shared" si="15"/>
        <v>40332.923999999999</v>
      </c>
      <c r="J252" s="206">
        <f t="shared" si="15"/>
        <v>40171.106</v>
      </c>
      <c r="K252" s="206">
        <f t="shared" si="15"/>
        <v>49422.224999999999</v>
      </c>
      <c r="L252" s="206">
        <f t="shared" si="15"/>
        <v>44158.447</v>
      </c>
      <c r="M252" s="206">
        <f t="shared" si="15"/>
        <v>33164.078999999998</v>
      </c>
      <c r="N252" s="206">
        <f t="shared" si="15"/>
        <v>42544.874000000003</v>
      </c>
      <c r="O252" s="206">
        <f t="shared" si="15"/>
        <v>44231.983999999997</v>
      </c>
      <c r="P252" s="206">
        <f t="shared" si="15"/>
        <v>43699.283000000003</v>
      </c>
      <c r="Q252" s="207">
        <f>SUM(E252:P252)</f>
        <v>509221.58500000002</v>
      </c>
      <c r="R252" s="159"/>
      <c r="S252" s="160"/>
    </row>
    <row r="253" spans="1:19" s="146" customFormat="1" ht="50.1" customHeight="1">
      <c r="A253" s="204" t="s">
        <v>4838</v>
      </c>
      <c r="B253" s="205" t="s">
        <v>4839</v>
      </c>
      <c r="C253" s="205" t="s">
        <v>4840</v>
      </c>
      <c r="D253" s="205" t="s">
        <v>4842</v>
      </c>
      <c r="E253" s="205">
        <v>18482.599999999999</v>
      </c>
      <c r="F253" s="206">
        <v>15992.209000000001</v>
      </c>
      <c r="G253" s="206">
        <v>16261.328</v>
      </c>
      <c r="H253" s="206">
        <v>14397.795</v>
      </c>
      <c r="I253" s="206">
        <v>16294.751</v>
      </c>
      <c r="J253" s="206">
        <v>17002.464</v>
      </c>
      <c r="K253" s="206">
        <v>23616.525000000001</v>
      </c>
      <c r="L253" s="206">
        <v>25057.355</v>
      </c>
      <c r="M253" s="206">
        <v>12187.847</v>
      </c>
      <c r="N253" s="206">
        <v>17608.991000000002</v>
      </c>
      <c r="O253" s="206">
        <v>20323.112000000001</v>
      </c>
      <c r="P253" s="206">
        <v>17684.972000000002</v>
      </c>
      <c r="Q253" s="208">
        <f>SUM(E253:P253)</f>
        <v>214909.94900000002</v>
      </c>
      <c r="R253" s="163"/>
      <c r="S253" s="164"/>
    </row>
    <row r="254" spans="1:19" s="171" customFormat="1" ht="50.1" customHeight="1">
      <c r="A254" s="209" t="s">
        <v>4843</v>
      </c>
      <c r="B254" s="209" t="s">
        <v>4839</v>
      </c>
      <c r="C254" s="205" t="s">
        <v>4840</v>
      </c>
      <c r="D254" s="209" t="s">
        <v>4842</v>
      </c>
      <c r="E254" s="209">
        <v>5213.7879999999996</v>
      </c>
      <c r="F254" s="210">
        <v>4959.701</v>
      </c>
      <c r="G254" s="210">
        <v>4834.8209999999999</v>
      </c>
      <c r="H254" s="210">
        <v>4373.991</v>
      </c>
      <c r="I254" s="210">
        <v>4429.143</v>
      </c>
      <c r="J254" s="210">
        <v>4309.7920000000004</v>
      </c>
      <c r="K254" s="210">
        <v>4959.38</v>
      </c>
      <c r="L254" s="210">
        <v>5453.0420000000004</v>
      </c>
      <c r="M254" s="210">
        <v>4205.6719999999996</v>
      </c>
      <c r="N254" s="210">
        <v>4945.7330000000002</v>
      </c>
      <c r="O254" s="210">
        <v>4905.0720000000001</v>
      </c>
      <c r="P254" s="210">
        <v>5376.6509999999998</v>
      </c>
      <c r="Q254" s="211">
        <f>SUM(E254:P254)</f>
        <v>57966.786</v>
      </c>
      <c r="R254" s="169"/>
      <c r="S254" s="170"/>
    </row>
    <row r="255" spans="1:19" s="171" customFormat="1" ht="50.1" customHeight="1">
      <c r="A255" s="209" t="s">
        <v>670</v>
      </c>
      <c r="B255" s="209" t="s">
        <v>4839</v>
      </c>
      <c r="C255" s="205" t="s">
        <v>4840</v>
      </c>
      <c r="D255" s="209" t="s">
        <v>4842</v>
      </c>
      <c r="E255" s="209">
        <v>600</v>
      </c>
      <c r="F255" s="210">
        <v>550</v>
      </c>
      <c r="G255" s="210">
        <v>600</v>
      </c>
      <c r="H255" s="210">
        <v>550</v>
      </c>
      <c r="I255" s="210">
        <v>550</v>
      </c>
      <c r="J255" s="210">
        <v>660</v>
      </c>
      <c r="K255" s="210">
        <v>660</v>
      </c>
      <c r="L255" s="210">
        <v>610</v>
      </c>
      <c r="M255" s="210">
        <v>570</v>
      </c>
      <c r="N255" s="210">
        <v>600</v>
      </c>
      <c r="O255" s="210">
        <v>630</v>
      </c>
      <c r="P255" s="210">
        <v>650</v>
      </c>
      <c r="Q255" s="211">
        <f>SUM(E255:P255)</f>
        <v>7230</v>
      </c>
      <c r="R255" s="169"/>
      <c r="S255" s="170"/>
    </row>
    <row r="256" spans="1:19" s="146" customFormat="1" ht="50.1" customHeight="1">
      <c r="A256" s="205" t="s">
        <v>4844</v>
      </c>
      <c r="B256" s="205" t="s">
        <v>4839</v>
      </c>
      <c r="C256" s="205" t="s">
        <v>4840</v>
      </c>
      <c r="D256" s="205" t="s">
        <v>4842</v>
      </c>
      <c r="E256" s="205">
        <v>8150</v>
      </c>
      <c r="F256" s="206">
        <v>7070</v>
      </c>
      <c r="G256" s="206">
        <v>7160</v>
      </c>
      <c r="H256" s="206">
        <v>6170</v>
      </c>
      <c r="I256" s="206">
        <v>5880</v>
      </c>
      <c r="J256" s="206">
        <v>5820</v>
      </c>
      <c r="K256" s="206">
        <v>6490</v>
      </c>
      <c r="L256" s="206">
        <v>7080</v>
      </c>
      <c r="M256" s="206">
        <v>5530</v>
      </c>
      <c r="N256" s="206">
        <v>7200</v>
      </c>
      <c r="O256" s="206">
        <v>7960</v>
      </c>
      <c r="P256" s="206">
        <v>8300</v>
      </c>
      <c r="Q256" s="208">
        <f>SUM(E256:P256)</f>
        <v>82810</v>
      </c>
      <c r="R256" s="163"/>
      <c r="S256" s="164"/>
    </row>
    <row r="257" spans="1:139" s="146" customFormat="1" ht="39.950000000000003" customHeight="1">
      <c r="A257" s="1604" t="s">
        <v>4845</v>
      </c>
      <c r="B257" s="1604"/>
      <c r="C257" s="1604"/>
      <c r="D257" s="1604"/>
      <c r="E257" s="1604"/>
      <c r="F257" s="1604"/>
      <c r="G257" s="1604"/>
      <c r="H257" s="1604"/>
      <c r="I257" s="1604"/>
      <c r="J257" s="1604"/>
      <c r="K257" s="1604"/>
      <c r="L257" s="1604"/>
      <c r="M257" s="1604"/>
      <c r="N257" s="1604"/>
      <c r="O257" s="1604"/>
      <c r="P257" s="1604"/>
      <c r="Q257" s="1604"/>
      <c r="R257" s="163"/>
      <c r="S257" s="164"/>
    </row>
    <row r="258" spans="1:139" s="146" customFormat="1" ht="50.1" customHeight="1">
      <c r="A258" s="205" t="s">
        <v>4846</v>
      </c>
      <c r="B258" s="1603" t="s">
        <v>4839</v>
      </c>
      <c r="C258" s="1603"/>
      <c r="D258" s="1603"/>
      <c r="E258" s="206">
        <v>72.599999999999994</v>
      </c>
      <c r="F258" s="206">
        <v>495.26</v>
      </c>
      <c r="G258" s="206">
        <v>676.12</v>
      </c>
      <c r="H258" s="206">
        <v>1666.41</v>
      </c>
      <c r="I258" s="206">
        <v>1762.68</v>
      </c>
      <c r="J258" s="206">
        <v>1658.88</v>
      </c>
      <c r="K258" s="206">
        <v>1700.17</v>
      </c>
      <c r="L258" s="212">
        <v>589.86</v>
      </c>
      <c r="M258" s="206">
        <v>1287.9100000000001</v>
      </c>
      <c r="N258" s="206">
        <v>1792.79</v>
      </c>
      <c r="O258" s="206">
        <v>108.42</v>
      </c>
      <c r="P258" s="206">
        <v>90.04</v>
      </c>
      <c r="Q258" s="208">
        <f>SUM(E258:P258)</f>
        <v>11901.140000000001</v>
      </c>
      <c r="R258" s="163"/>
      <c r="S258" s="164"/>
    </row>
    <row r="259" spans="1:139" s="146" customFormat="1" ht="50.1" customHeight="1">
      <c r="A259" s="205" t="s">
        <v>4847</v>
      </c>
      <c r="B259" s="1603" t="s">
        <v>4839</v>
      </c>
      <c r="C259" s="1603"/>
      <c r="D259" s="1603"/>
      <c r="E259" s="206">
        <v>932.57</v>
      </c>
      <c r="F259" s="206">
        <v>782.72</v>
      </c>
      <c r="G259" s="206">
        <v>1323.34</v>
      </c>
      <c r="H259" s="206">
        <v>440.41</v>
      </c>
      <c r="I259" s="206">
        <v>306.14999999999998</v>
      </c>
      <c r="J259" s="206">
        <v>435.47</v>
      </c>
      <c r="K259" s="206">
        <v>514.25</v>
      </c>
      <c r="L259" s="206">
        <v>535.69000000000005</v>
      </c>
      <c r="M259" s="206">
        <v>615.54999999999995</v>
      </c>
      <c r="N259" s="206">
        <v>627.96</v>
      </c>
      <c r="O259" s="206">
        <v>988.48</v>
      </c>
      <c r="P259" s="206">
        <v>636.32000000000005</v>
      </c>
      <c r="Q259" s="208">
        <f>SUM(E259:P259)</f>
        <v>8138.91</v>
      </c>
      <c r="R259" s="163"/>
      <c r="S259" s="164"/>
    </row>
    <row r="260" spans="1:139" s="146" customFormat="1" ht="50.1" customHeight="1">
      <c r="A260" s="205" t="s">
        <v>4848</v>
      </c>
      <c r="B260" s="1603" t="s">
        <v>4839</v>
      </c>
      <c r="C260" s="1603"/>
      <c r="D260" s="1603"/>
      <c r="E260" s="206">
        <v>185</v>
      </c>
      <c r="F260" s="206">
        <v>170</v>
      </c>
      <c r="G260" s="206">
        <v>160</v>
      </c>
      <c r="H260" s="206">
        <v>125</v>
      </c>
      <c r="I260" s="206">
        <v>110</v>
      </c>
      <c r="J260" s="206">
        <v>110</v>
      </c>
      <c r="K260" s="206">
        <v>117</v>
      </c>
      <c r="L260" s="206">
        <v>121</v>
      </c>
      <c r="M260" s="206">
        <v>140</v>
      </c>
      <c r="N260" s="206">
        <v>145</v>
      </c>
      <c r="O260" s="206">
        <v>170</v>
      </c>
      <c r="P260" s="206">
        <v>180</v>
      </c>
      <c r="Q260" s="208">
        <f>SUM(E260:P260)</f>
        <v>1733</v>
      </c>
      <c r="R260" s="163"/>
      <c r="S260" s="164"/>
    </row>
    <row r="261" spans="1:139" s="171" customFormat="1" ht="66.75" customHeight="1">
      <c r="A261" s="202" t="s">
        <v>4849</v>
      </c>
      <c r="B261" s="1610" t="s">
        <v>4839</v>
      </c>
      <c r="C261" s="1610"/>
      <c r="D261" s="1610"/>
      <c r="E261" s="212">
        <v>11266</v>
      </c>
      <c r="F261" s="212">
        <v>13346.9</v>
      </c>
      <c r="G261" s="212">
        <v>12165.1</v>
      </c>
      <c r="H261" s="212">
        <v>12323</v>
      </c>
      <c r="I261" s="212">
        <v>11000.2</v>
      </c>
      <c r="J261" s="212">
        <v>10174.5</v>
      </c>
      <c r="K261" s="212">
        <v>11364.9</v>
      </c>
      <c r="L261" s="212">
        <v>4711.5</v>
      </c>
      <c r="M261" s="212">
        <v>8627.1</v>
      </c>
      <c r="N261" s="212">
        <v>9624.4</v>
      </c>
      <c r="O261" s="212">
        <v>9146.9</v>
      </c>
      <c r="P261" s="212">
        <v>10781.3</v>
      </c>
      <c r="Q261" s="213">
        <f>SUM(E261:P261)</f>
        <v>124531.79999999999</v>
      </c>
      <c r="R261" s="169"/>
      <c r="S261" s="170"/>
    </row>
    <row r="262" spans="1:139" s="146" customFormat="1" ht="29.25" customHeight="1">
      <c r="A262" s="1608" t="s">
        <v>4850</v>
      </c>
      <c r="B262" s="1608"/>
      <c r="C262" s="1608"/>
      <c r="D262" s="1608"/>
      <c r="E262" s="1608"/>
      <c r="F262" s="1608"/>
      <c r="G262" s="1608"/>
      <c r="H262" s="1608"/>
      <c r="I262" s="1608"/>
      <c r="J262" s="1608"/>
      <c r="K262" s="1608"/>
      <c r="L262" s="1608"/>
      <c r="M262" s="1608"/>
      <c r="N262" s="1608"/>
      <c r="O262" s="1608"/>
      <c r="P262" s="1608"/>
      <c r="Q262" s="1608"/>
      <c r="R262" s="163"/>
      <c r="S262" s="164"/>
    </row>
    <row r="263" spans="1:139" s="146" customFormat="1" ht="50.1" customHeight="1">
      <c r="A263" s="1602" t="s">
        <v>1462</v>
      </c>
      <c r="B263" s="1602"/>
      <c r="C263" s="1605" t="s">
        <v>1463</v>
      </c>
      <c r="D263" s="1605" t="s">
        <v>1464</v>
      </c>
      <c r="E263" s="1602" t="s">
        <v>4851</v>
      </c>
      <c r="F263" s="1602"/>
      <c r="G263" s="1602"/>
      <c r="H263" s="1602"/>
      <c r="I263" s="1602"/>
      <c r="J263" s="1602"/>
      <c r="K263" s="1602"/>
      <c r="L263" s="1602"/>
      <c r="M263" s="1602"/>
      <c r="N263" s="1602"/>
      <c r="O263" s="1602"/>
      <c r="P263" s="1602"/>
      <c r="Q263" s="1605" t="s">
        <v>1466</v>
      </c>
      <c r="R263" s="1582" t="s">
        <v>4852</v>
      </c>
      <c r="S263" s="1582" t="s">
        <v>4853</v>
      </c>
    </row>
    <row r="264" spans="1:139" s="146" customFormat="1" ht="50.1" customHeight="1">
      <c r="A264" s="1602"/>
      <c r="B264" s="1602"/>
      <c r="C264" s="1605"/>
      <c r="D264" s="1609"/>
      <c r="E264" s="1602" t="s">
        <v>1467</v>
      </c>
      <c r="F264" s="1602"/>
      <c r="G264" s="1602"/>
      <c r="H264" s="1602" t="s">
        <v>1468</v>
      </c>
      <c r="I264" s="1602"/>
      <c r="J264" s="1602"/>
      <c r="K264" s="1602" t="s">
        <v>1469</v>
      </c>
      <c r="L264" s="1602"/>
      <c r="M264" s="1602"/>
      <c r="N264" s="1602" t="s">
        <v>1470</v>
      </c>
      <c r="O264" s="1602"/>
      <c r="P264" s="1602"/>
      <c r="Q264" s="1605"/>
      <c r="R264" s="1582"/>
      <c r="S264" s="1582"/>
    </row>
    <row r="265" spans="1:139" s="146" customFormat="1" ht="50.1" customHeight="1">
      <c r="A265" s="1602"/>
      <c r="B265" s="1602"/>
      <c r="C265" s="1605"/>
      <c r="D265" s="1609"/>
      <c r="E265" s="214" t="s">
        <v>1471</v>
      </c>
      <c r="F265" s="214" t="s">
        <v>1472</v>
      </c>
      <c r="G265" s="214" t="s">
        <v>1473</v>
      </c>
      <c r="H265" s="214" t="s">
        <v>1474</v>
      </c>
      <c r="I265" s="214" t="s">
        <v>1475</v>
      </c>
      <c r="J265" s="214" t="s">
        <v>1476</v>
      </c>
      <c r="K265" s="214" t="s">
        <v>1477</v>
      </c>
      <c r="L265" s="214" t="s">
        <v>1478</v>
      </c>
      <c r="M265" s="214" t="s">
        <v>1479</v>
      </c>
      <c r="N265" s="214" t="s">
        <v>1480</v>
      </c>
      <c r="O265" s="214" t="s">
        <v>1481</v>
      </c>
      <c r="P265" s="214" t="s">
        <v>4522</v>
      </c>
      <c r="Q265" s="1605"/>
      <c r="R265" s="1582"/>
      <c r="S265" s="1582"/>
    </row>
    <row r="266" spans="1:139" s="146" customFormat="1" ht="18" customHeight="1">
      <c r="A266" s="1605">
        <v>1</v>
      </c>
      <c r="B266" s="1605"/>
      <c r="C266" s="205">
        <v>2</v>
      </c>
      <c r="D266" s="205">
        <v>3</v>
      </c>
      <c r="E266" s="205">
        <v>4</v>
      </c>
      <c r="F266" s="205">
        <v>5</v>
      </c>
      <c r="G266" s="205">
        <v>6</v>
      </c>
      <c r="H266" s="205">
        <v>7</v>
      </c>
      <c r="I266" s="205">
        <v>8</v>
      </c>
      <c r="J266" s="205">
        <v>9</v>
      </c>
      <c r="K266" s="205">
        <v>10</v>
      </c>
      <c r="L266" s="205">
        <v>11</v>
      </c>
      <c r="M266" s="205">
        <v>12</v>
      </c>
      <c r="N266" s="205">
        <v>13</v>
      </c>
      <c r="O266" s="205">
        <v>14</v>
      </c>
      <c r="P266" s="205">
        <v>15</v>
      </c>
      <c r="Q266" s="205">
        <v>16</v>
      </c>
      <c r="R266" s="149">
        <v>18</v>
      </c>
      <c r="S266" s="175">
        <v>19</v>
      </c>
    </row>
    <row r="267" spans="1:139" s="146" customFormat="1" ht="54.95" customHeight="1">
      <c r="A267" s="1606" t="s">
        <v>4854</v>
      </c>
      <c r="B267" s="1606"/>
      <c r="C267" s="1606"/>
      <c r="D267" s="1606"/>
      <c r="E267" s="215">
        <f>E269+E270+E271+E272+E273+E274+E275+E276</f>
        <v>68.849999999999994</v>
      </c>
      <c r="F267" s="215">
        <f t="shared" ref="F267:P267" si="16">F269+F270+F271+F272+F273+F274+F275+F276</f>
        <v>75.762</v>
      </c>
      <c r="G267" s="215">
        <f t="shared" si="16"/>
        <v>68.231999999999999</v>
      </c>
      <c r="H267" s="215">
        <f t="shared" si="16"/>
        <v>68.500999999999991</v>
      </c>
      <c r="I267" s="215">
        <f t="shared" si="16"/>
        <v>67.13</v>
      </c>
      <c r="J267" s="215">
        <f t="shared" si="16"/>
        <v>67.653000000000006</v>
      </c>
      <c r="K267" s="215">
        <f t="shared" si="16"/>
        <v>78.822999999999993</v>
      </c>
      <c r="L267" s="215">
        <f t="shared" si="16"/>
        <v>66.421999999999997</v>
      </c>
      <c r="M267" s="215">
        <f t="shared" si="16"/>
        <v>56.106000000000002</v>
      </c>
      <c r="N267" s="215">
        <f t="shared" si="16"/>
        <v>69.378</v>
      </c>
      <c r="O267" s="215">
        <f t="shared" si="16"/>
        <v>69.314000000000007</v>
      </c>
      <c r="P267" s="215">
        <f t="shared" si="16"/>
        <v>67.253</v>
      </c>
      <c r="Q267" s="207">
        <f>SUM(E267:P267)/12</f>
        <v>68.61866666666667</v>
      </c>
      <c r="R267" s="177">
        <v>93</v>
      </c>
      <c r="S267" s="177">
        <v>323</v>
      </c>
    </row>
    <row r="268" spans="1:139" s="1593" customFormat="1" ht="29.25" customHeight="1">
      <c r="A268" s="1585" t="s">
        <v>4837</v>
      </c>
    </row>
    <row r="269" spans="1:139" s="183" customFormat="1" ht="50.1" customHeight="1">
      <c r="A269" s="148" t="s">
        <v>4846</v>
      </c>
      <c r="B269" s="1585" t="s">
        <v>4855</v>
      </c>
      <c r="C269" s="1585"/>
      <c r="D269" s="1585"/>
      <c r="E269" s="178">
        <v>0.29299999999999998</v>
      </c>
      <c r="F269" s="178">
        <v>2.2109999999999999</v>
      </c>
      <c r="G269" s="178">
        <v>2.726</v>
      </c>
      <c r="H269" s="178">
        <v>6.9429999999999996</v>
      </c>
      <c r="I269" s="178">
        <v>7.1079999999999997</v>
      </c>
      <c r="J269" s="178">
        <v>6.9119999999999999</v>
      </c>
      <c r="K269" s="178">
        <v>6.8559999999999999</v>
      </c>
      <c r="L269" s="179">
        <v>2.3780000000000001</v>
      </c>
      <c r="M269" s="178">
        <v>5.3659999999999997</v>
      </c>
      <c r="N269" s="178">
        <v>7.2290000000000001</v>
      </c>
      <c r="O269" s="178">
        <v>0.45200000000000001</v>
      </c>
      <c r="P269" s="178">
        <v>0.36299999999999999</v>
      </c>
      <c r="Q269" s="177">
        <f t="shared" ref="Q269:Q276" si="17">SUM(E269:P269)/12</f>
        <v>4.06975</v>
      </c>
      <c r="R269" s="180"/>
      <c r="S269" s="181"/>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182"/>
      <c r="BB269" s="182"/>
      <c r="BC269" s="182"/>
      <c r="BD269" s="182"/>
      <c r="BE269" s="182"/>
      <c r="BF269" s="182"/>
      <c r="BG269" s="182"/>
      <c r="BH269" s="182"/>
      <c r="BI269" s="182"/>
      <c r="BJ269" s="182"/>
      <c r="BK269" s="182"/>
      <c r="BL269" s="182"/>
      <c r="BM269" s="182"/>
      <c r="BN269" s="182"/>
      <c r="BO269" s="182"/>
      <c r="BP269" s="182"/>
      <c r="BQ269" s="182"/>
      <c r="BR269" s="182"/>
      <c r="BS269" s="182"/>
      <c r="BT269" s="182"/>
      <c r="BU269" s="182"/>
      <c r="BV269" s="182"/>
      <c r="BW269" s="182"/>
      <c r="BX269" s="182"/>
      <c r="BY269" s="182"/>
      <c r="BZ269" s="182"/>
      <c r="CA269" s="182"/>
      <c r="CB269" s="182"/>
      <c r="CC269" s="182"/>
      <c r="CD269" s="182"/>
      <c r="CE269" s="182"/>
      <c r="CF269" s="182"/>
      <c r="CG269" s="182"/>
      <c r="CH269" s="182"/>
      <c r="CI269" s="182"/>
      <c r="CJ269" s="182"/>
      <c r="CK269" s="182"/>
      <c r="CL269" s="182"/>
      <c r="CM269" s="182"/>
      <c r="CN269" s="182"/>
      <c r="CO269" s="182"/>
      <c r="CP269" s="182"/>
      <c r="CQ269" s="182"/>
      <c r="CR269" s="182"/>
      <c r="CS269" s="182"/>
      <c r="CT269" s="182"/>
      <c r="CU269" s="182"/>
      <c r="CV269" s="182"/>
      <c r="CW269" s="182"/>
      <c r="CX269" s="182"/>
      <c r="CY269" s="182"/>
      <c r="CZ269" s="182"/>
      <c r="DA269" s="182"/>
      <c r="DB269" s="182"/>
      <c r="DC269" s="182"/>
      <c r="DD269" s="182"/>
      <c r="DE269" s="182"/>
      <c r="DF269" s="182"/>
      <c r="DG269" s="182"/>
      <c r="DH269" s="182"/>
      <c r="DI269" s="182"/>
      <c r="DJ269" s="182"/>
      <c r="DK269" s="182"/>
      <c r="DL269" s="182"/>
      <c r="DM269" s="182"/>
      <c r="DN269" s="182"/>
      <c r="DO269" s="182"/>
      <c r="DP269" s="182"/>
      <c r="DQ269" s="182"/>
      <c r="DR269" s="182"/>
      <c r="DS269" s="182"/>
      <c r="DT269" s="182"/>
      <c r="DU269" s="182"/>
      <c r="DV269" s="182"/>
      <c r="DW269" s="182"/>
      <c r="DX269" s="182"/>
      <c r="DY269" s="182"/>
      <c r="DZ269" s="182"/>
      <c r="EA269" s="182"/>
      <c r="EB269" s="182"/>
      <c r="EC269" s="182"/>
      <c r="ED269" s="182"/>
      <c r="EE269" s="182"/>
      <c r="EF269" s="182"/>
      <c r="EG269" s="182"/>
      <c r="EH269" s="182"/>
      <c r="EI269" s="182"/>
    </row>
    <row r="270" spans="1:139" s="183" customFormat="1" ht="50.1" customHeight="1">
      <c r="A270" s="148" t="s">
        <v>4847</v>
      </c>
      <c r="B270" s="1585" t="s">
        <v>4855</v>
      </c>
      <c r="C270" s="1585"/>
      <c r="D270" s="1585"/>
      <c r="E270" s="178">
        <v>1.2529999999999999</v>
      </c>
      <c r="F270" s="178">
        <v>1.165</v>
      </c>
      <c r="G270" s="178">
        <v>1.7789999999999999</v>
      </c>
      <c r="H270" s="178">
        <v>0.61199999999999999</v>
      </c>
      <c r="I270" s="178">
        <v>0.41099999999999998</v>
      </c>
      <c r="J270" s="178">
        <v>0.60499999999999998</v>
      </c>
      <c r="K270" s="178">
        <v>0.69099999999999995</v>
      </c>
      <c r="L270" s="178">
        <v>0.72</v>
      </c>
      <c r="M270" s="178">
        <v>0.85499999999999998</v>
      </c>
      <c r="N270" s="178">
        <v>0.84399999999999997</v>
      </c>
      <c r="O270" s="178">
        <v>1.373</v>
      </c>
      <c r="P270" s="178">
        <v>0.85499999999999998</v>
      </c>
      <c r="Q270" s="177">
        <f t="shared" si="17"/>
        <v>0.93024999999999991</v>
      </c>
      <c r="R270" s="180"/>
      <c r="S270" s="181"/>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182"/>
      <c r="BB270" s="182"/>
      <c r="BC270" s="182"/>
      <c r="BD270" s="182"/>
      <c r="BE270" s="182"/>
      <c r="BF270" s="182"/>
      <c r="BG270" s="182"/>
      <c r="BH270" s="182"/>
      <c r="BI270" s="182"/>
      <c r="BJ270" s="182"/>
      <c r="BK270" s="182"/>
      <c r="BL270" s="182"/>
      <c r="BM270" s="182"/>
      <c r="BN270" s="182"/>
      <c r="BO270" s="182"/>
      <c r="BP270" s="182"/>
      <c r="BQ270" s="182"/>
      <c r="BR270" s="182"/>
      <c r="BS270" s="182"/>
      <c r="BT270" s="182"/>
      <c r="BU270" s="182"/>
      <c r="BV270" s="182"/>
      <c r="BW270" s="182"/>
      <c r="BX270" s="182"/>
      <c r="BY270" s="182"/>
      <c r="BZ270" s="182"/>
      <c r="CA270" s="182"/>
      <c r="CB270" s="182"/>
      <c r="CC270" s="182"/>
      <c r="CD270" s="182"/>
      <c r="CE270" s="182"/>
      <c r="CF270" s="182"/>
      <c r="CG270" s="182"/>
      <c r="CH270" s="182"/>
      <c r="CI270" s="182"/>
      <c r="CJ270" s="182"/>
      <c r="CK270" s="182"/>
      <c r="CL270" s="182"/>
      <c r="CM270" s="182"/>
      <c r="CN270" s="182"/>
      <c r="CO270" s="182"/>
      <c r="CP270" s="182"/>
      <c r="CQ270" s="182"/>
      <c r="CR270" s="182"/>
      <c r="CS270" s="182"/>
      <c r="CT270" s="182"/>
      <c r="CU270" s="182"/>
      <c r="CV270" s="182"/>
      <c r="CW270" s="182"/>
      <c r="CX270" s="182"/>
      <c r="CY270" s="182"/>
      <c r="CZ270" s="182"/>
      <c r="DA270" s="182"/>
      <c r="DB270" s="182"/>
      <c r="DC270" s="182"/>
      <c r="DD270" s="182"/>
      <c r="DE270" s="182"/>
      <c r="DF270" s="182"/>
      <c r="DG270" s="182"/>
      <c r="DH270" s="182"/>
      <c r="DI270" s="182"/>
      <c r="DJ270" s="182"/>
      <c r="DK270" s="182"/>
      <c r="DL270" s="182"/>
      <c r="DM270" s="182"/>
      <c r="DN270" s="182"/>
      <c r="DO270" s="182"/>
      <c r="DP270" s="182"/>
      <c r="DQ270" s="182"/>
      <c r="DR270" s="182"/>
      <c r="DS270" s="182"/>
      <c r="DT270" s="182"/>
      <c r="DU270" s="182"/>
      <c r="DV270" s="182"/>
      <c r="DW270" s="182"/>
      <c r="DX270" s="182"/>
      <c r="DY270" s="182"/>
      <c r="DZ270" s="182"/>
      <c r="EA270" s="182"/>
      <c r="EB270" s="182"/>
      <c r="EC270" s="182"/>
      <c r="ED270" s="182"/>
      <c r="EE270" s="182"/>
      <c r="EF270" s="182"/>
      <c r="EG270" s="182"/>
      <c r="EH270" s="182"/>
      <c r="EI270" s="182"/>
    </row>
    <row r="271" spans="1:139" s="183" customFormat="1" ht="50.1" customHeight="1">
      <c r="A271" s="148" t="s">
        <v>4848</v>
      </c>
      <c r="B271" s="1585" t="s">
        <v>4855</v>
      </c>
      <c r="C271" s="1585"/>
      <c r="D271" s="1585"/>
      <c r="E271" s="178">
        <v>0.29799999999999999</v>
      </c>
      <c r="F271" s="178">
        <v>0.30299999999999999</v>
      </c>
      <c r="G271" s="178">
        <v>0.25800000000000001</v>
      </c>
      <c r="H271" s="178">
        <v>0.20799999999999999</v>
      </c>
      <c r="I271" s="178">
        <v>0.17699999999999999</v>
      </c>
      <c r="J271" s="178">
        <v>0.183</v>
      </c>
      <c r="K271" s="178">
        <v>0.188</v>
      </c>
      <c r="L271" s="178">
        <v>0.19500000000000001</v>
      </c>
      <c r="M271" s="178">
        <v>0.23300000000000001</v>
      </c>
      <c r="N271" s="178">
        <v>0.23300000000000001</v>
      </c>
      <c r="O271" s="178">
        <v>0.28299999999999997</v>
      </c>
      <c r="P271" s="178">
        <v>0.28999999999999998</v>
      </c>
      <c r="Q271" s="177">
        <f t="shared" si="17"/>
        <v>0.23741666666666669</v>
      </c>
      <c r="R271" s="180"/>
      <c r="S271" s="181"/>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2"/>
      <c r="BL271" s="182"/>
      <c r="BM271" s="182"/>
      <c r="BN271" s="182"/>
      <c r="BO271" s="182"/>
      <c r="BP271" s="182"/>
      <c r="BQ271" s="182"/>
      <c r="BR271" s="182"/>
      <c r="BS271" s="182"/>
      <c r="BT271" s="182"/>
      <c r="BU271" s="182"/>
      <c r="BV271" s="182"/>
      <c r="BW271" s="182"/>
      <c r="BX271" s="182"/>
      <c r="BY271" s="182"/>
      <c r="BZ271" s="182"/>
      <c r="CA271" s="182"/>
      <c r="CB271" s="182"/>
      <c r="CC271" s="182"/>
      <c r="CD271" s="182"/>
      <c r="CE271" s="182"/>
      <c r="CF271" s="182"/>
      <c r="CG271" s="182"/>
      <c r="CH271" s="182"/>
      <c r="CI271" s="182"/>
      <c r="CJ271" s="182"/>
      <c r="CK271" s="182"/>
      <c r="CL271" s="182"/>
      <c r="CM271" s="182"/>
      <c r="CN271" s="182"/>
      <c r="CO271" s="182"/>
      <c r="CP271" s="182"/>
      <c r="CQ271" s="182"/>
      <c r="CR271" s="182"/>
      <c r="CS271" s="182"/>
      <c r="CT271" s="182"/>
      <c r="CU271" s="182"/>
      <c r="CV271" s="182"/>
      <c r="CW271" s="182"/>
      <c r="CX271" s="182"/>
      <c r="CY271" s="182"/>
      <c r="CZ271" s="182"/>
      <c r="DA271" s="182"/>
      <c r="DB271" s="182"/>
      <c r="DC271" s="182"/>
      <c r="DD271" s="182"/>
      <c r="DE271" s="182"/>
      <c r="DF271" s="182"/>
      <c r="DG271" s="182"/>
      <c r="DH271" s="182"/>
      <c r="DI271" s="182"/>
      <c r="DJ271" s="182"/>
      <c r="DK271" s="182"/>
      <c r="DL271" s="182"/>
      <c r="DM271" s="182"/>
      <c r="DN271" s="182"/>
      <c r="DO271" s="182"/>
      <c r="DP271" s="182"/>
      <c r="DQ271" s="182"/>
      <c r="DR271" s="182"/>
      <c r="DS271" s="182"/>
      <c r="DT271" s="182"/>
      <c r="DU271" s="182"/>
      <c r="DV271" s="182"/>
      <c r="DW271" s="182"/>
      <c r="DX271" s="182"/>
      <c r="DY271" s="182"/>
      <c r="DZ271" s="182"/>
      <c r="EA271" s="182"/>
      <c r="EB271" s="182"/>
      <c r="EC271" s="182"/>
      <c r="ED271" s="182"/>
      <c r="EE271" s="182"/>
      <c r="EF271" s="182"/>
      <c r="EG271" s="182"/>
      <c r="EH271" s="182"/>
      <c r="EI271" s="182"/>
    </row>
    <row r="272" spans="1:139" s="183" customFormat="1" ht="50.1" customHeight="1">
      <c r="A272" s="148" t="s">
        <v>4849</v>
      </c>
      <c r="B272" s="1585" t="s">
        <v>4855</v>
      </c>
      <c r="C272" s="1585"/>
      <c r="D272" s="1585"/>
      <c r="E272" s="178">
        <v>19.684999999999999</v>
      </c>
      <c r="F272" s="178">
        <v>25.82</v>
      </c>
      <c r="G272" s="178">
        <v>21.256</v>
      </c>
      <c r="H272" s="178">
        <v>22.25</v>
      </c>
      <c r="I272" s="178">
        <v>19.221</v>
      </c>
      <c r="J272" s="178">
        <v>18.370999999999999</v>
      </c>
      <c r="K272" s="178">
        <v>19.858000000000001</v>
      </c>
      <c r="L272" s="178">
        <v>8.2319999999999993</v>
      </c>
      <c r="M272" s="178">
        <v>15.577</v>
      </c>
      <c r="N272" s="178">
        <v>16.817</v>
      </c>
      <c r="O272" s="178">
        <v>16.515000000000001</v>
      </c>
      <c r="P272" s="178">
        <v>18.838000000000001</v>
      </c>
      <c r="Q272" s="177">
        <f t="shared" si="17"/>
        <v>18.536666666666665</v>
      </c>
      <c r="R272" s="180"/>
      <c r="S272" s="181"/>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c r="BR272" s="182"/>
      <c r="BS272" s="182"/>
      <c r="BT272" s="182"/>
      <c r="BU272" s="182"/>
      <c r="BV272" s="182"/>
      <c r="BW272" s="182"/>
      <c r="BX272" s="182"/>
      <c r="BY272" s="182"/>
      <c r="BZ272" s="182"/>
      <c r="CA272" s="182"/>
      <c r="CB272" s="182"/>
      <c r="CC272" s="182"/>
      <c r="CD272" s="182"/>
      <c r="CE272" s="182"/>
      <c r="CF272" s="182"/>
      <c r="CG272" s="182"/>
      <c r="CH272" s="182"/>
      <c r="CI272" s="182"/>
      <c r="CJ272" s="182"/>
      <c r="CK272" s="182"/>
      <c r="CL272" s="182"/>
      <c r="CM272" s="182"/>
      <c r="CN272" s="182"/>
      <c r="CO272" s="182"/>
      <c r="CP272" s="182"/>
      <c r="CQ272" s="182"/>
      <c r="CR272" s="182"/>
      <c r="CS272" s="182"/>
      <c r="CT272" s="182"/>
      <c r="CU272" s="182"/>
      <c r="CV272" s="182"/>
      <c r="CW272" s="182"/>
      <c r="CX272" s="182"/>
      <c r="CY272" s="182"/>
      <c r="CZ272" s="182"/>
      <c r="DA272" s="182"/>
      <c r="DB272" s="182"/>
      <c r="DC272" s="182"/>
      <c r="DD272" s="182"/>
      <c r="DE272" s="182"/>
      <c r="DF272" s="182"/>
      <c r="DG272" s="182"/>
      <c r="DH272" s="182"/>
      <c r="DI272" s="182"/>
      <c r="DJ272" s="182"/>
      <c r="DK272" s="182"/>
      <c r="DL272" s="182"/>
      <c r="DM272" s="182"/>
      <c r="DN272" s="182"/>
      <c r="DO272" s="182"/>
      <c r="DP272" s="182"/>
      <c r="DQ272" s="182"/>
      <c r="DR272" s="182"/>
      <c r="DS272" s="182"/>
      <c r="DT272" s="182"/>
      <c r="DU272" s="182"/>
      <c r="DV272" s="182"/>
      <c r="DW272" s="182"/>
      <c r="DX272" s="182"/>
      <c r="DY272" s="182"/>
      <c r="DZ272" s="182"/>
      <c r="EA272" s="182"/>
      <c r="EB272" s="182"/>
      <c r="EC272" s="182"/>
      <c r="ED272" s="182"/>
      <c r="EE272" s="182"/>
      <c r="EF272" s="182"/>
      <c r="EG272" s="182"/>
      <c r="EH272" s="182"/>
      <c r="EI272" s="182"/>
    </row>
    <row r="273" spans="1:139" s="183" customFormat="1" ht="50.1" customHeight="1">
      <c r="A273" s="156" t="s">
        <v>4856</v>
      </c>
      <c r="B273" s="1585" t="s">
        <v>4855</v>
      </c>
      <c r="C273" s="1585"/>
      <c r="D273" s="1585"/>
      <c r="E273" s="178">
        <v>24.8</v>
      </c>
      <c r="F273" s="178">
        <v>23.8</v>
      </c>
      <c r="G273" s="178">
        <v>21.9</v>
      </c>
      <c r="H273" s="178">
        <v>20</v>
      </c>
      <c r="I273" s="178">
        <v>22.7</v>
      </c>
      <c r="J273" s="178">
        <v>23.6</v>
      </c>
      <c r="K273" s="178">
        <v>31.7</v>
      </c>
      <c r="L273" s="178">
        <v>33.700000000000003</v>
      </c>
      <c r="M273" s="178">
        <v>16.899999999999999</v>
      </c>
      <c r="N273" s="178">
        <v>23.7</v>
      </c>
      <c r="O273" s="178">
        <v>28.2</v>
      </c>
      <c r="P273" s="178">
        <v>23.8</v>
      </c>
      <c r="Q273" s="177">
        <f t="shared" si="17"/>
        <v>24.566666666666666</v>
      </c>
      <c r="R273" s="180"/>
      <c r="S273" s="181"/>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2"/>
      <c r="BN273" s="182"/>
      <c r="BO273" s="182"/>
      <c r="BP273" s="182"/>
      <c r="BQ273" s="182"/>
      <c r="BR273" s="182"/>
      <c r="BS273" s="182"/>
      <c r="BT273" s="182"/>
      <c r="BU273" s="182"/>
      <c r="BV273" s="182"/>
      <c r="BW273" s="182"/>
      <c r="BX273" s="182"/>
      <c r="BY273" s="182"/>
      <c r="BZ273" s="182"/>
      <c r="CA273" s="182"/>
      <c r="CB273" s="182"/>
      <c r="CC273" s="182"/>
      <c r="CD273" s="182"/>
      <c r="CE273" s="182"/>
      <c r="CF273" s="182"/>
      <c r="CG273" s="182"/>
      <c r="CH273" s="182"/>
      <c r="CI273" s="182"/>
      <c r="CJ273" s="182"/>
      <c r="CK273" s="182"/>
      <c r="CL273" s="182"/>
      <c r="CM273" s="182"/>
      <c r="CN273" s="182"/>
      <c r="CO273" s="182"/>
      <c r="CP273" s="182"/>
      <c r="CQ273" s="182"/>
      <c r="CR273" s="182"/>
      <c r="CS273" s="182"/>
      <c r="CT273" s="182"/>
      <c r="CU273" s="182"/>
      <c r="CV273" s="182"/>
      <c r="CW273" s="182"/>
      <c r="CX273" s="182"/>
      <c r="CY273" s="182"/>
      <c r="CZ273" s="182"/>
      <c r="DA273" s="182"/>
      <c r="DB273" s="182"/>
      <c r="DC273" s="182"/>
      <c r="DD273" s="182"/>
      <c r="DE273" s="182"/>
      <c r="DF273" s="182"/>
      <c r="DG273" s="182"/>
      <c r="DH273" s="182"/>
      <c r="DI273" s="182"/>
      <c r="DJ273" s="182"/>
      <c r="DK273" s="182"/>
      <c r="DL273" s="182"/>
      <c r="DM273" s="182"/>
      <c r="DN273" s="182"/>
      <c r="DO273" s="182"/>
      <c r="DP273" s="182"/>
      <c r="DQ273" s="182"/>
      <c r="DR273" s="182"/>
      <c r="DS273" s="182"/>
      <c r="DT273" s="182"/>
      <c r="DU273" s="182"/>
      <c r="DV273" s="182"/>
      <c r="DW273" s="182"/>
      <c r="DX273" s="182"/>
      <c r="DY273" s="182"/>
      <c r="DZ273" s="182"/>
      <c r="EA273" s="182"/>
      <c r="EB273" s="182"/>
      <c r="EC273" s="182"/>
      <c r="ED273" s="182"/>
      <c r="EE273" s="182"/>
      <c r="EF273" s="182"/>
      <c r="EG273" s="182"/>
      <c r="EH273" s="182"/>
      <c r="EI273" s="182"/>
    </row>
    <row r="274" spans="1:139" s="183" customFormat="1" ht="50.1" customHeight="1">
      <c r="A274" s="165" t="s">
        <v>4857</v>
      </c>
      <c r="B274" s="1585" t="s">
        <v>4855</v>
      </c>
      <c r="C274" s="1585"/>
      <c r="D274" s="1585"/>
      <c r="E274" s="178">
        <v>8.4090000000000007</v>
      </c>
      <c r="F274" s="178">
        <v>8.8559999999999999</v>
      </c>
      <c r="G274" s="178">
        <v>7.798</v>
      </c>
      <c r="H274" s="178">
        <v>7.2889999999999997</v>
      </c>
      <c r="I274" s="178">
        <v>7.1429999999999998</v>
      </c>
      <c r="J274" s="178">
        <v>7.1820000000000004</v>
      </c>
      <c r="K274" s="178">
        <v>7.9989999999999997</v>
      </c>
      <c r="L274" s="178">
        <v>8.7949999999999999</v>
      </c>
      <c r="M274" s="178">
        <v>7.0090000000000003</v>
      </c>
      <c r="N274" s="178">
        <v>7.976</v>
      </c>
      <c r="O274" s="178">
        <v>8.1750000000000007</v>
      </c>
      <c r="P274" s="178">
        <v>8.6720000000000006</v>
      </c>
      <c r="Q274" s="177">
        <f t="shared" si="17"/>
        <v>7.9419166666666676</v>
      </c>
      <c r="R274" s="180"/>
      <c r="S274" s="181"/>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c r="BR274" s="182"/>
      <c r="BS274" s="182"/>
      <c r="BT274" s="182"/>
      <c r="BU274" s="182"/>
      <c r="BV274" s="182"/>
      <c r="BW274" s="182"/>
      <c r="BX274" s="182"/>
      <c r="BY274" s="182"/>
      <c r="BZ274" s="182"/>
      <c r="CA274" s="182"/>
      <c r="CB274" s="182"/>
      <c r="CC274" s="182"/>
      <c r="CD274" s="182"/>
      <c r="CE274" s="182"/>
      <c r="CF274" s="182"/>
      <c r="CG274" s="182"/>
      <c r="CH274" s="182"/>
      <c r="CI274" s="182"/>
      <c r="CJ274" s="182"/>
      <c r="CK274" s="182"/>
      <c r="CL274" s="182"/>
      <c r="CM274" s="182"/>
      <c r="CN274" s="182"/>
      <c r="CO274" s="182"/>
      <c r="CP274" s="182"/>
      <c r="CQ274" s="182"/>
      <c r="CR274" s="182"/>
      <c r="CS274" s="182"/>
      <c r="CT274" s="182"/>
      <c r="CU274" s="182"/>
      <c r="CV274" s="182"/>
      <c r="CW274" s="182"/>
      <c r="CX274" s="182"/>
      <c r="CY274" s="182"/>
      <c r="CZ274" s="182"/>
      <c r="DA274" s="182"/>
      <c r="DB274" s="182"/>
      <c r="DC274" s="182"/>
      <c r="DD274" s="182"/>
      <c r="DE274" s="182"/>
      <c r="DF274" s="182"/>
      <c r="DG274" s="182"/>
      <c r="DH274" s="182"/>
      <c r="DI274" s="182"/>
      <c r="DJ274" s="182"/>
      <c r="DK274" s="182"/>
      <c r="DL274" s="182"/>
      <c r="DM274" s="182"/>
      <c r="DN274" s="182"/>
      <c r="DO274" s="182"/>
      <c r="DP274" s="182"/>
      <c r="DQ274" s="182"/>
      <c r="DR274" s="182"/>
      <c r="DS274" s="182"/>
      <c r="DT274" s="182"/>
      <c r="DU274" s="182"/>
      <c r="DV274" s="182"/>
      <c r="DW274" s="182"/>
      <c r="DX274" s="182"/>
      <c r="DY274" s="182"/>
      <c r="DZ274" s="182"/>
      <c r="EA274" s="182"/>
      <c r="EB274" s="182"/>
      <c r="EC274" s="182"/>
      <c r="ED274" s="182"/>
      <c r="EE274" s="182"/>
      <c r="EF274" s="182"/>
      <c r="EG274" s="182"/>
      <c r="EH274" s="182"/>
      <c r="EI274" s="182"/>
    </row>
    <row r="275" spans="1:139" s="183" customFormat="1" ht="50.1" customHeight="1">
      <c r="A275" s="165" t="s">
        <v>1995</v>
      </c>
      <c r="B275" s="1585" t="s">
        <v>4855</v>
      </c>
      <c r="C275" s="1585"/>
      <c r="D275" s="1585"/>
      <c r="E275" s="178">
        <v>0.96699999999999997</v>
      </c>
      <c r="F275" s="178">
        <v>0.98199999999999998</v>
      </c>
      <c r="G275" s="178">
        <v>0.96699999999999997</v>
      </c>
      <c r="H275" s="178">
        <v>0.91600000000000004</v>
      </c>
      <c r="I275" s="178">
        <v>0.88700000000000001</v>
      </c>
      <c r="J275" s="178">
        <v>1.1000000000000001</v>
      </c>
      <c r="K275" s="178">
        <v>1.0640000000000001</v>
      </c>
      <c r="L275" s="178">
        <v>0.98299999999999998</v>
      </c>
      <c r="M275" s="178">
        <v>0.95</v>
      </c>
      <c r="N275" s="178">
        <v>0.96699999999999997</v>
      </c>
      <c r="O275" s="178">
        <v>1.05</v>
      </c>
      <c r="P275" s="178">
        <v>1.048</v>
      </c>
      <c r="Q275" s="177">
        <f t="shared" si="17"/>
        <v>0.99008333333333332</v>
      </c>
      <c r="R275" s="180"/>
      <c r="S275" s="181"/>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c r="BR275" s="182"/>
      <c r="BS275" s="182"/>
      <c r="BT275" s="182"/>
      <c r="BU275" s="182"/>
      <c r="BV275" s="182"/>
      <c r="BW275" s="182"/>
      <c r="BX275" s="182"/>
      <c r="BY275" s="182"/>
      <c r="BZ275" s="182"/>
      <c r="CA275" s="182"/>
      <c r="CB275" s="182"/>
      <c r="CC275" s="182"/>
      <c r="CD275" s="182"/>
      <c r="CE275" s="182"/>
      <c r="CF275" s="182"/>
      <c r="CG275" s="182"/>
      <c r="CH275" s="182"/>
      <c r="CI275" s="182"/>
      <c r="CJ275" s="182"/>
      <c r="CK275" s="182"/>
      <c r="CL275" s="182"/>
      <c r="CM275" s="182"/>
      <c r="CN275" s="182"/>
      <c r="CO275" s="182"/>
      <c r="CP275" s="182"/>
      <c r="CQ275" s="182"/>
      <c r="CR275" s="182"/>
      <c r="CS275" s="182"/>
      <c r="CT275" s="182"/>
      <c r="CU275" s="182"/>
      <c r="CV275" s="182"/>
      <c r="CW275" s="182"/>
      <c r="CX275" s="182"/>
      <c r="CY275" s="182"/>
      <c r="CZ275" s="182"/>
      <c r="DA275" s="182"/>
      <c r="DB275" s="182"/>
      <c r="DC275" s="182"/>
      <c r="DD275" s="182"/>
      <c r="DE275" s="182"/>
      <c r="DF275" s="182"/>
      <c r="DG275" s="182"/>
      <c r="DH275" s="182"/>
      <c r="DI275" s="182"/>
      <c r="DJ275" s="182"/>
      <c r="DK275" s="182"/>
      <c r="DL275" s="182"/>
      <c r="DM275" s="182"/>
      <c r="DN275" s="182"/>
      <c r="DO275" s="182"/>
      <c r="DP275" s="182"/>
      <c r="DQ275" s="182"/>
      <c r="DR275" s="182"/>
      <c r="DS275" s="182"/>
      <c r="DT275" s="182"/>
      <c r="DU275" s="182"/>
      <c r="DV275" s="182"/>
      <c r="DW275" s="182"/>
      <c r="DX275" s="182"/>
      <c r="DY275" s="182"/>
      <c r="DZ275" s="182"/>
      <c r="EA275" s="182"/>
      <c r="EB275" s="182"/>
      <c r="EC275" s="182"/>
      <c r="ED275" s="182"/>
      <c r="EE275" s="182"/>
      <c r="EF275" s="182"/>
      <c r="EG275" s="182"/>
      <c r="EH275" s="182"/>
      <c r="EI275" s="182"/>
    </row>
    <row r="276" spans="1:139" s="183" customFormat="1" ht="50.1" customHeight="1">
      <c r="A276" s="148" t="s">
        <v>4858</v>
      </c>
      <c r="B276" s="1585" t="s">
        <v>4855</v>
      </c>
      <c r="C276" s="1585"/>
      <c r="D276" s="1585"/>
      <c r="E276" s="178">
        <v>13.145</v>
      </c>
      <c r="F276" s="178">
        <v>12.625</v>
      </c>
      <c r="G276" s="178">
        <v>11.548</v>
      </c>
      <c r="H276" s="178">
        <v>10.282999999999999</v>
      </c>
      <c r="I276" s="178">
        <v>9.4830000000000005</v>
      </c>
      <c r="J276" s="178">
        <v>9.6999999999999993</v>
      </c>
      <c r="K276" s="178">
        <v>10.467000000000001</v>
      </c>
      <c r="L276" s="178">
        <v>11.419</v>
      </c>
      <c r="M276" s="178">
        <v>9.2159999999999993</v>
      </c>
      <c r="N276" s="178">
        <v>11.612</v>
      </c>
      <c r="O276" s="178">
        <v>13.266</v>
      </c>
      <c r="P276" s="178">
        <v>13.387</v>
      </c>
      <c r="Q276" s="177">
        <f t="shared" si="17"/>
        <v>11.345916666666668</v>
      </c>
      <c r="R276" s="180"/>
      <c r="S276" s="181"/>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c r="BR276" s="182"/>
      <c r="BS276" s="182"/>
      <c r="BT276" s="182"/>
      <c r="BU276" s="182"/>
      <c r="BV276" s="182"/>
      <c r="BW276" s="182"/>
      <c r="BX276" s="182"/>
      <c r="BY276" s="182"/>
      <c r="BZ276" s="182"/>
      <c r="CA276" s="182"/>
      <c r="CB276" s="182"/>
      <c r="CC276" s="182"/>
      <c r="CD276" s="182"/>
      <c r="CE276" s="182"/>
      <c r="CF276" s="182"/>
      <c r="CG276" s="182"/>
      <c r="CH276" s="182"/>
      <c r="CI276" s="182"/>
      <c r="CJ276" s="182"/>
      <c r="CK276" s="182"/>
      <c r="CL276" s="182"/>
      <c r="CM276" s="182"/>
      <c r="CN276" s="182"/>
      <c r="CO276" s="182"/>
      <c r="CP276" s="182"/>
      <c r="CQ276" s="182"/>
      <c r="CR276" s="182"/>
      <c r="CS276" s="182"/>
      <c r="CT276" s="182"/>
      <c r="CU276" s="182"/>
      <c r="CV276" s="182"/>
      <c r="CW276" s="182"/>
      <c r="CX276" s="182"/>
      <c r="CY276" s="182"/>
      <c r="CZ276" s="182"/>
      <c r="DA276" s="182"/>
      <c r="DB276" s="182"/>
      <c r="DC276" s="182"/>
      <c r="DD276" s="182"/>
      <c r="DE276" s="182"/>
      <c r="DF276" s="182"/>
      <c r="DG276" s="182"/>
      <c r="DH276" s="182"/>
      <c r="DI276" s="182"/>
      <c r="DJ276" s="182"/>
      <c r="DK276" s="182"/>
      <c r="DL276" s="182"/>
      <c r="DM276" s="182"/>
      <c r="DN276" s="182"/>
      <c r="DO276" s="182"/>
      <c r="DP276" s="182"/>
      <c r="DQ276" s="182"/>
      <c r="DR276" s="182"/>
      <c r="DS276" s="182"/>
      <c r="DT276" s="182"/>
      <c r="DU276" s="182"/>
      <c r="DV276" s="182"/>
      <c r="DW276" s="182"/>
      <c r="DX276" s="182"/>
      <c r="DY276" s="182"/>
      <c r="DZ276" s="182"/>
      <c r="EA276" s="182"/>
      <c r="EB276" s="182"/>
      <c r="EC276" s="182"/>
      <c r="ED276" s="182"/>
      <c r="EE276" s="182"/>
      <c r="EF276" s="182"/>
      <c r="EG276" s="182"/>
      <c r="EH276" s="182"/>
      <c r="EI276" s="182"/>
    </row>
    <row r="277" spans="1:139" s="146" customFormat="1" ht="30" customHeight="1">
      <c r="A277" s="1598" t="s">
        <v>4859</v>
      </c>
      <c r="B277" s="1598"/>
      <c r="C277" s="1598"/>
      <c r="D277" s="1598"/>
      <c r="E277" s="1598"/>
      <c r="F277" s="1598"/>
      <c r="G277" s="1598"/>
      <c r="H277" s="1598"/>
      <c r="I277" s="1598"/>
      <c r="J277" s="1598"/>
      <c r="K277" s="1598"/>
      <c r="L277" s="1598"/>
      <c r="M277" s="1598"/>
      <c r="N277" s="1598"/>
      <c r="O277" s="1598"/>
      <c r="P277" s="1598"/>
      <c r="Q277" s="184"/>
      <c r="R277" s="185"/>
      <c r="S277" s="164"/>
    </row>
    <row r="278" spans="1:139" s="146" customFormat="1" ht="30.75" customHeight="1">
      <c r="A278" s="1592" t="s">
        <v>1461</v>
      </c>
      <c r="B278" s="1592"/>
      <c r="C278" s="1592"/>
      <c r="D278" s="1592"/>
      <c r="E278" s="186"/>
      <c r="F278" s="186"/>
      <c r="G278" s="186"/>
      <c r="H278" s="186"/>
      <c r="I278" s="186"/>
      <c r="J278" s="186"/>
      <c r="K278" s="186"/>
      <c r="L278" s="186"/>
      <c r="M278" s="186"/>
      <c r="N278" s="186"/>
      <c r="O278" s="186"/>
      <c r="P278" s="186"/>
      <c r="Q278" s="187"/>
      <c r="R278" s="185"/>
      <c r="S278" s="164"/>
    </row>
    <row r="279" spans="1:139" s="146" customFormat="1" ht="60" customHeight="1">
      <c r="A279" s="1597" t="s">
        <v>1462</v>
      </c>
      <c r="B279" s="1597"/>
      <c r="C279" s="1599" t="s">
        <v>1463</v>
      </c>
      <c r="D279" s="1599" t="s">
        <v>1464</v>
      </c>
      <c r="E279" s="1597" t="s">
        <v>4860</v>
      </c>
      <c r="F279" s="1597"/>
      <c r="G279" s="1597"/>
      <c r="H279" s="1597"/>
      <c r="I279" s="1597"/>
      <c r="J279" s="1597"/>
      <c r="K279" s="1597"/>
      <c r="L279" s="1597"/>
      <c r="M279" s="1597"/>
      <c r="N279" s="1597"/>
      <c r="O279" s="1597"/>
      <c r="P279" s="1597"/>
      <c r="Q279" s="1599" t="s">
        <v>1466</v>
      </c>
      <c r="R279" s="1591"/>
      <c r="S279" s="1591"/>
    </row>
    <row r="280" spans="1:139" s="146" customFormat="1" ht="60" customHeight="1">
      <c r="A280" s="1590"/>
      <c r="B280" s="1590"/>
      <c r="C280" s="1582"/>
      <c r="D280" s="1583"/>
      <c r="E280" s="1590" t="s">
        <v>1467</v>
      </c>
      <c r="F280" s="1590"/>
      <c r="G280" s="1590"/>
      <c r="H280" s="1590" t="s">
        <v>1468</v>
      </c>
      <c r="I280" s="1590"/>
      <c r="J280" s="1590"/>
      <c r="K280" s="1590" t="s">
        <v>1469</v>
      </c>
      <c r="L280" s="1590"/>
      <c r="M280" s="1590"/>
      <c r="N280" s="1590" t="s">
        <v>1470</v>
      </c>
      <c r="O280" s="1590"/>
      <c r="P280" s="1590"/>
      <c r="Q280" s="1582"/>
      <c r="R280" s="1591"/>
      <c r="S280" s="1591"/>
    </row>
    <row r="281" spans="1:139" s="146" customFormat="1" ht="60" customHeight="1">
      <c r="A281" s="1590"/>
      <c r="B281" s="1590"/>
      <c r="C281" s="1582"/>
      <c r="D281" s="1583"/>
      <c r="E281" s="147" t="s">
        <v>1471</v>
      </c>
      <c r="F281" s="147" t="s">
        <v>1472</v>
      </c>
      <c r="G281" s="147" t="s">
        <v>1473</v>
      </c>
      <c r="H281" s="147" t="s">
        <v>1474</v>
      </c>
      <c r="I281" s="147" t="s">
        <v>1475</v>
      </c>
      <c r="J281" s="147" t="s">
        <v>1476</v>
      </c>
      <c r="K281" s="147" t="s">
        <v>1477</v>
      </c>
      <c r="L281" s="147" t="s">
        <v>1478</v>
      </c>
      <c r="M281" s="147" t="s">
        <v>1479</v>
      </c>
      <c r="N281" s="147" t="s">
        <v>1480</v>
      </c>
      <c r="O281" s="147" t="s">
        <v>1481</v>
      </c>
      <c r="P281" s="147" t="s">
        <v>4522</v>
      </c>
      <c r="Q281" s="1582"/>
      <c r="R281" s="1591"/>
      <c r="S281" s="1591"/>
    </row>
    <row r="282" spans="1:139" s="146" customFormat="1" ht="18" customHeight="1">
      <c r="A282" s="148">
        <v>1</v>
      </c>
      <c r="B282" s="148">
        <v>2</v>
      </c>
      <c r="C282" s="148">
        <v>3</v>
      </c>
      <c r="D282" s="148">
        <v>4</v>
      </c>
      <c r="E282" s="149">
        <v>5</v>
      </c>
      <c r="F282" s="149">
        <v>6</v>
      </c>
      <c r="G282" s="149">
        <v>7</v>
      </c>
      <c r="H282" s="149">
        <v>8</v>
      </c>
      <c r="I282" s="149">
        <v>9</v>
      </c>
      <c r="J282" s="149">
        <v>10</v>
      </c>
      <c r="K282" s="149">
        <v>11</v>
      </c>
      <c r="L282" s="149">
        <v>12</v>
      </c>
      <c r="M282" s="149">
        <v>13</v>
      </c>
      <c r="N282" s="149">
        <v>14</v>
      </c>
      <c r="O282" s="149">
        <v>15</v>
      </c>
      <c r="P282" s="149">
        <v>16</v>
      </c>
      <c r="Q282" s="149">
        <v>17</v>
      </c>
      <c r="R282" s="150"/>
      <c r="S282" s="151"/>
    </row>
    <row r="283" spans="1:139" s="146" customFormat="1" ht="60" customHeight="1">
      <c r="A283" s="1613" t="s">
        <v>4836</v>
      </c>
      <c r="B283" s="1613"/>
      <c r="C283" s="1613"/>
      <c r="D283" s="1613"/>
      <c r="E283" s="179">
        <f>E288+E289+E290</f>
        <v>493.94</v>
      </c>
      <c r="F283" s="179">
        <f t="shared" ref="F283:P283" si="18">F288+F289+F290</f>
        <v>429.06</v>
      </c>
      <c r="G283" s="179">
        <f t="shared" si="18"/>
        <v>414.57</v>
      </c>
      <c r="H283" s="179">
        <f t="shared" si="18"/>
        <v>376</v>
      </c>
      <c r="I283" s="179">
        <f t="shared" si="18"/>
        <v>373.48</v>
      </c>
      <c r="J283" s="179">
        <f t="shared" si="18"/>
        <v>382.05</v>
      </c>
      <c r="K283" s="179">
        <f t="shared" si="18"/>
        <v>387.57</v>
      </c>
      <c r="L283" s="179">
        <f t="shared" si="18"/>
        <v>354.67</v>
      </c>
      <c r="M283" s="179">
        <f t="shared" si="18"/>
        <v>401.24</v>
      </c>
      <c r="N283" s="179">
        <f t="shared" si="18"/>
        <v>409.73</v>
      </c>
      <c r="O283" s="179">
        <f t="shared" si="18"/>
        <v>418.86</v>
      </c>
      <c r="P283" s="179">
        <f t="shared" si="18"/>
        <v>433.86</v>
      </c>
      <c r="Q283" s="216">
        <f>SUM(E283:P283)</f>
        <v>4875.0300000000007</v>
      </c>
      <c r="R283" s="154"/>
      <c r="S283" s="151"/>
    </row>
    <row r="284" spans="1:139" s="146" customFormat="1" ht="27" customHeight="1">
      <c r="A284" s="1614"/>
      <c r="B284" s="1614"/>
      <c r="C284" s="1614"/>
      <c r="D284" s="1614"/>
      <c r="E284" s="1614"/>
      <c r="F284" s="1614"/>
      <c r="G284" s="1614"/>
      <c r="H284" s="1614"/>
      <c r="I284" s="1614"/>
      <c r="J284" s="1614"/>
      <c r="K284" s="1614"/>
      <c r="L284" s="1614"/>
      <c r="M284" s="1614"/>
      <c r="N284" s="1614"/>
      <c r="O284" s="1614"/>
      <c r="P284" s="1614"/>
      <c r="Q284" s="1614"/>
      <c r="R284" s="185"/>
      <c r="S284" s="164"/>
    </row>
    <row r="285" spans="1:139" s="146" customFormat="1" ht="50.1" customHeight="1">
      <c r="A285" s="217" t="s">
        <v>4838</v>
      </c>
      <c r="B285" s="178" t="s">
        <v>4839</v>
      </c>
      <c r="C285" s="178" t="s">
        <v>4840</v>
      </c>
      <c r="D285" s="178" t="s">
        <v>4841</v>
      </c>
      <c r="E285" s="195">
        <f>E283+E286</f>
        <v>2113.94</v>
      </c>
      <c r="F285" s="195">
        <f t="shared" ref="F285:P285" si="19">F286+F283</f>
        <v>1809.06</v>
      </c>
      <c r="G285" s="195">
        <f t="shared" si="19"/>
        <v>1864.57</v>
      </c>
      <c r="H285" s="195">
        <f t="shared" si="19"/>
        <v>1546</v>
      </c>
      <c r="I285" s="195">
        <f t="shared" si="19"/>
        <v>1373.48</v>
      </c>
      <c r="J285" s="195">
        <f t="shared" si="19"/>
        <v>1282.05</v>
      </c>
      <c r="K285" s="195">
        <f t="shared" si="19"/>
        <v>1487.57</v>
      </c>
      <c r="L285" s="195">
        <f t="shared" si="19"/>
        <v>1554.67</v>
      </c>
      <c r="M285" s="195">
        <f t="shared" si="19"/>
        <v>1391.24</v>
      </c>
      <c r="N285" s="195">
        <f t="shared" si="19"/>
        <v>1759.73</v>
      </c>
      <c r="O285" s="195">
        <f t="shared" si="19"/>
        <v>1818.8600000000001</v>
      </c>
      <c r="P285" s="195">
        <f t="shared" si="19"/>
        <v>1983.8600000000001</v>
      </c>
      <c r="Q285" s="177">
        <f>SUM(E285:P285)</f>
        <v>19985.03</v>
      </c>
      <c r="R285" s="185"/>
      <c r="S285" s="164"/>
    </row>
    <row r="286" spans="1:139" s="146" customFormat="1" ht="50.1" customHeight="1">
      <c r="A286" s="178" t="s">
        <v>4844</v>
      </c>
      <c r="B286" s="178" t="s">
        <v>4839</v>
      </c>
      <c r="C286" s="178" t="s">
        <v>4840</v>
      </c>
      <c r="D286" s="178" t="s">
        <v>4842</v>
      </c>
      <c r="E286" s="195">
        <v>1620</v>
      </c>
      <c r="F286" s="195">
        <v>1380</v>
      </c>
      <c r="G286" s="195">
        <v>1450</v>
      </c>
      <c r="H286" s="195">
        <v>1170</v>
      </c>
      <c r="I286" s="195">
        <v>1000</v>
      </c>
      <c r="J286" s="195">
        <v>900</v>
      </c>
      <c r="K286" s="195">
        <v>1100</v>
      </c>
      <c r="L286" s="195">
        <v>1200</v>
      </c>
      <c r="M286" s="195">
        <v>990</v>
      </c>
      <c r="N286" s="195">
        <v>1350</v>
      </c>
      <c r="O286" s="195">
        <v>1400</v>
      </c>
      <c r="P286" s="195">
        <v>1550</v>
      </c>
      <c r="Q286" s="177">
        <f>SUM(E286:P286)</f>
        <v>15110</v>
      </c>
      <c r="R286" s="185"/>
      <c r="S286" s="164"/>
    </row>
    <row r="287" spans="1:139" s="146" customFormat="1" ht="39.950000000000003" customHeight="1">
      <c r="A287" s="1611" t="s">
        <v>4845</v>
      </c>
      <c r="B287" s="1611"/>
      <c r="C287" s="1611"/>
      <c r="D287" s="1611"/>
      <c r="E287" s="1611"/>
      <c r="F287" s="1611"/>
      <c r="G287" s="1611"/>
      <c r="H287" s="1611"/>
      <c r="I287" s="1611"/>
      <c r="J287" s="1611"/>
      <c r="K287" s="1611"/>
      <c r="L287" s="1611"/>
      <c r="M287" s="1611"/>
      <c r="N287" s="1611"/>
      <c r="O287" s="1611"/>
      <c r="P287" s="1611"/>
      <c r="Q287" s="1611"/>
      <c r="R287" s="185"/>
      <c r="S287" s="164"/>
    </row>
    <row r="288" spans="1:139" s="146" customFormat="1" ht="50.1" customHeight="1">
      <c r="A288" s="178" t="s">
        <v>4846</v>
      </c>
      <c r="B288" s="1612" t="s">
        <v>4839</v>
      </c>
      <c r="C288" s="1612"/>
      <c r="D288" s="1612"/>
      <c r="E288" s="178">
        <v>0</v>
      </c>
      <c r="F288" s="178">
        <v>0</v>
      </c>
      <c r="G288" s="178">
        <v>0</v>
      </c>
      <c r="H288" s="178">
        <v>0</v>
      </c>
      <c r="I288" s="178">
        <v>0</v>
      </c>
      <c r="J288" s="178">
        <v>0</v>
      </c>
      <c r="K288" s="178">
        <v>0</v>
      </c>
      <c r="L288" s="178">
        <v>0</v>
      </c>
      <c r="M288" s="178">
        <v>0</v>
      </c>
      <c r="N288" s="178">
        <v>0</v>
      </c>
      <c r="O288" s="178">
        <v>0</v>
      </c>
      <c r="P288" s="178">
        <v>0</v>
      </c>
      <c r="Q288" s="218">
        <f>SUM(E288:P288)</f>
        <v>0</v>
      </c>
      <c r="R288" s="185"/>
      <c r="S288" s="164"/>
    </row>
    <row r="289" spans="1:19" s="146" customFormat="1" ht="50.1" customHeight="1">
      <c r="A289" s="178" t="s">
        <v>4847</v>
      </c>
      <c r="B289" s="1612" t="s">
        <v>4839</v>
      </c>
      <c r="C289" s="1612"/>
      <c r="D289" s="1612"/>
      <c r="E289" s="178">
        <v>43.94</v>
      </c>
      <c r="F289" s="219">
        <v>39.06</v>
      </c>
      <c r="G289" s="219">
        <v>44.57</v>
      </c>
      <c r="H289" s="219">
        <v>36</v>
      </c>
      <c r="I289" s="219">
        <v>33.479999999999997</v>
      </c>
      <c r="J289" s="219">
        <v>32.049999999999997</v>
      </c>
      <c r="K289" s="219">
        <v>37.57</v>
      </c>
      <c r="L289" s="219">
        <v>34.67</v>
      </c>
      <c r="M289" s="219">
        <v>31.24</v>
      </c>
      <c r="N289" s="219">
        <v>44.73</v>
      </c>
      <c r="O289" s="219">
        <v>38.86</v>
      </c>
      <c r="P289" s="219">
        <v>43.86</v>
      </c>
      <c r="Q289" s="218">
        <f>SUM(E289:P289)</f>
        <v>460.03000000000003</v>
      </c>
      <c r="R289" s="185"/>
      <c r="S289" s="164"/>
    </row>
    <row r="290" spans="1:19" s="146" customFormat="1" ht="50.1" customHeight="1">
      <c r="A290" s="178" t="s">
        <v>4848</v>
      </c>
      <c r="B290" s="1612" t="s">
        <v>4839</v>
      </c>
      <c r="C290" s="1612"/>
      <c r="D290" s="1612"/>
      <c r="E290" s="178">
        <v>450</v>
      </c>
      <c r="F290" s="195">
        <v>390</v>
      </c>
      <c r="G290" s="195">
        <v>370</v>
      </c>
      <c r="H290" s="195">
        <v>340</v>
      </c>
      <c r="I290" s="195">
        <v>340</v>
      </c>
      <c r="J290" s="195">
        <v>350</v>
      </c>
      <c r="K290" s="195">
        <v>350</v>
      </c>
      <c r="L290" s="195">
        <v>320</v>
      </c>
      <c r="M290" s="195">
        <v>370</v>
      </c>
      <c r="N290" s="195">
        <v>365</v>
      </c>
      <c r="O290" s="195">
        <v>380</v>
      </c>
      <c r="P290" s="195">
        <v>390</v>
      </c>
      <c r="Q290" s="218">
        <f>SUM(E290:P290)</f>
        <v>4415</v>
      </c>
      <c r="R290" s="185"/>
      <c r="S290" s="164"/>
    </row>
    <row r="291" spans="1:19" s="146" customFormat="1" ht="36.75" customHeight="1">
      <c r="A291" s="1594" t="s">
        <v>4850</v>
      </c>
      <c r="B291" s="1594"/>
      <c r="C291" s="1594"/>
      <c r="D291" s="1594"/>
      <c r="E291" s="1594"/>
      <c r="F291" s="1594"/>
      <c r="G291" s="1594"/>
      <c r="H291" s="1594"/>
      <c r="I291" s="1594"/>
      <c r="J291" s="1594"/>
      <c r="K291" s="1594"/>
      <c r="L291" s="1594"/>
      <c r="M291" s="1594"/>
      <c r="N291" s="1594"/>
      <c r="O291" s="1594"/>
      <c r="P291" s="1594"/>
      <c r="Q291" s="1594"/>
      <c r="R291" s="185"/>
      <c r="S291" s="164"/>
    </row>
    <row r="292" spans="1:19" s="146" customFormat="1" ht="50.1" customHeight="1">
      <c r="A292" s="1590" t="s">
        <v>1462</v>
      </c>
      <c r="B292" s="1590"/>
      <c r="C292" s="1582" t="s">
        <v>1463</v>
      </c>
      <c r="D292" s="1582" t="s">
        <v>1464</v>
      </c>
      <c r="E292" s="1590" t="s">
        <v>4851</v>
      </c>
      <c r="F292" s="1590"/>
      <c r="G292" s="1590"/>
      <c r="H292" s="1590"/>
      <c r="I292" s="1590"/>
      <c r="J292" s="1590"/>
      <c r="K292" s="1590"/>
      <c r="L292" s="1590"/>
      <c r="M292" s="1590"/>
      <c r="N292" s="1590"/>
      <c r="O292" s="1590"/>
      <c r="P292" s="1590"/>
      <c r="Q292" s="1582" t="s">
        <v>1466</v>
      </c>
      <c r="R292" s="1582" t="s">
        <v>4852</v>
      </c>
      <c r="S292" s="1582" t="s">
        <v>4853</v>
      </c>
    </row>
    <row r="293" spans="1:19" s="146" customFormat="1" ht="50.1" customHeight="1">
      <c r="A293" s="1590"/>
      <c r="B293" s="1590"/>
      <c r="C293" s="1582"/>
      <c r="D293" s="1583"/>
      <c r="E293" s="1590" t="s">
        <v>1467</v>
      </c>
      <c r="F293" s="1590"/>
      <c r="G293" s="1590"/>
      <c r="H293" s="1590" t="s">
        <v>1468</v>
      </c>
      <c r="I293" s="1590"/>
      <c r="J293" s="1590"/>
      <c r="K293" s="1590" t="s">
        <v>1469</v>
      </c>
      <c r="L293" s="1590"/>
      <c r="M293" s="1590"/>
      <c r="N293" s="1590" t="s">
        <v>1470</v>
      </c>
      <c r="O293" s="1590"/>
      <c r="P293" s="1590"/>
      <c r="Q293" s="1582"/>
      <c r="R293" s="1582"/>
      <c r="S293" s="1582"/>
    </row>
    <row r="294" spans="1:19" s="146" customFormat="1" ht="50.1" customHeight="1">
      <c r="A294" s="1590"/>
      <c r="B294" s="1590"/>
      <c r="C294" s="1582"/>
      <c r="D294" s="1583"/>
      <c r="E294" s="147" t="s">
        <v>1471</v>
      </c>
      <c r="F294" s="147" t="s">
        <v>1472</v>
      </c>
      <c r="G294" s="147" t="s">
        <v>1473</v>
      </c>
      <c r="H294" s="147" t="s">
        <v>1474</v>
      </c>
      <c r="I294" s="147" t="s">
        <v>1475</v>
      </c>
      <c r="J294" s="147" t="s">
        <v>1476</v>
      </c>
      <c r="K294" s="147" t="s">
        <v>1477</v>
      </c>
      <c r="L294" s="147" t="s">
        <v>1478</v>
      </c>
      <c r="M294" s="147" t="s">
        <v>1479</v>
      </c>
      <c r="N294" s="147" t="s">
        <v>1480</v>
      </c>
      <c r="O294" s="147" t="s">
        <v>1481</v>
      </c>
      <c r="P294" s="147" t="s">
        <v>4522</v>
      </c>
      <c r="Q294" s="1582"/>
      <c r="R294" s="1582"/>
      <c r="S294" s="1582"/>
    </row>
    <row r="295" spans="1:19" s="146" customFormat="1" ht="24.75" customHeight="1">
      <c r="A295" s="1582">
        <v>1</v>
      </c>
      <c r="B295" s="1582"/>
      <c r="C295" s="148">
        <v>2</v>
      </c>
      <c r="D295" s="148">
        <v>3</v>
      </c>
      <c r="E295" s="148">
        <v>4</v>
      </c>
      <c r="F295" s="148">
        <v>5</v>
      </c>
      <c r="G295" s="148">
        <v>6</v>
      </c>
      <c r="H295" s="148">
        <v>7</v>
      </c>
      <c r="I295" s="148">
        <v>8</v>
      </c>
      <c r="J295" s="148">
        <v>9</v>
      </c>
      <c r="K295" s="148">
        <v>10</v>
      </c>
      <c r="L295" s="148">
        <v>11</v>
      </c>
      <c r="M295" s="148">
        <v>12</v>
      </c>
      <c r="N295" s="148">
        <v>13</v>
      </c>
      <c r="O295" s="148">
        <v>14</v>
      </c>
      <c r="P295" s="148">
        <v>15</v>
      </c>
      <c r="Q295" s="148">
        <v>16</v>
      </c>
      <c r="R295" s="149">
        <v>18</v>
      </c>
      <c r="S295" s="175">
        <v>19</v>
      </c>
    </row>
    <row r="296" spans="1:19" s="146" customFormat="1" ht="50.1" customHeight="1">
      <c r="A296" s="1595" t="s">
        <v>4854</v>
      </c>
      <c r="B296" s="1595"/>
      <c r="C296" s="1595"/>
      <c r="D296" s="1595"/>
      <c r="E296" s="176">
        <f>E298+E299+E300+E301</f>
        <v>3.4050000000000002</v>
      </c>
      <c r="F296" s="176">
        <f t="shared" ref="F296:N296" si="20">F298+F299+F300+F301</f>
        <v>3.23</v>
      </c>
      <c r="G296" s="176">
        <f t="shared" si="20"/>
        <v>3.0010000000000003</v>
      </c>
      <c r="H296" s="176">
        <f t="shared" si="20"/>
        <v>2.577</v>
      </c>
      <c r="I296" s="176">
        <f t="shared" si="20"/>
        <v>2.2160000000000002</v>
      </c>
      <c r="J296" s="176">
        <f t="shared" si="20"/>
        <v>2.14</v>
      </c>
      <c r="K296" s="176">
        <f t="shared" si="20"/>
        <v>2.399</v>
      </c>
      <c r="L296" s="176">
        <f t="shared" si="20"/>
        <v>2.512</v>
      </c>
      <c r="M296" s="176">
        <f t="shared" si="20"/>
        <v>2.323</v>
      </c>
      <c r="N296" s="176">
        <f t="shared" si="20"/>
        <v>2.8239999999999998</v>
      </c>
      <c r="O296" s="176">
        <f>O298+O299+O300+O301</f>
        <v>3.0270000000000001</v>
      </c>
      <c r="P296" s="176">
        <f>P298+P299+P300+P301</f>
        <v>3.1970000000000001</v>
      </c>
      <c r="Q296" s="177">
        <f>SUM(E296:P296)/12</f>
        <v>2.7375833333333337</v>
      </c>
      <c r="R296" s="177">
        <v>13.6</v>
      </c>
      <c r="S296" s="177">
        <v>32</v>
      </c>
    </row>
    <row r="297" spans="1:19" s="194" customFormat="1" ht="29.25" customHeight="1">
      <c r="A297" s="1586" t="s">
        <v>4837</v>
      </c>
      <c r="B297" s="1587"/>
      <c r="C297" s="1587"/>
      <c r="D297" s="1587"/>
      <c r="E297" s="1587"/>
      <c r="F297" s="1587"/>
      <c r="G297" s="1587"/>
      <c r="H297" s="1587"/>
      <c r="I297" s="1587"/>
      <c r="J297" s="1587"/>
      <c r="K297" s="1587"/>
      <c r="L297" s="1587"/>
      <c r="M297" s="1587"/>
      <c r="N297" s="1587"/>
      <c r="O297" s="1587"/>
      <c r="P297" s="1587"/>
      <c r="Q297" s="1587"/>
      <c r="R297" s="1587"/>
      <c r="S297" s="1588"/>
    </row>
    <row r="298" spans="1:19" s="146" customFormat="1" ht="50.1" customHeight="1">
      <c r="A298" s="148" t="s">
        <v>4846</v>
      </c>
      <c r="B298" s="1585" t="s">
        <v>4855</v>
      </c>
      <c r="C298" s="1585"/>
      <c r="D298" s="1585"/>
      <c r="E298" s="195">
        <v>0</v>
      </c>
      <c r="F298" s="195">
        <v>0</v>
      </c>
      <c r="G298" s="195">
        <v>0</v>
      </c>
      <c r="H298" s="195">
        <v>0</v>
      </c>
      <c r="I298" s="195">
        <v>0</v>
      </c>
      <c r="J298" s="195">
        <v>0</v>
      </c>
      <c r="K298" s="195">
        <v>0</v>
      </c>
      <c r="L298" s="195">
        <v>0</v>
      </c>
      <c r="M298" s="195">
        <v>0</v>
      </c>
      <c r="N298" s="195">
        <v>0</v>
      </c>
      <c r="O298" s="195">
        <v>0</v>
      </c>
      <c r="P298" s="195">
        <v>0</v>
      </c>
      <c r="Q298" s="177">
        <f>SUM(E298:P298)/12</f>
        <v>0</v>
      </c>
      <c r="R298" s="196"/>
      <c r="S298" s="181"/>
    </row>
    <row r="299" spans="1:19" s="146" customFormat="1" ht="50.1" customHeight="1">
      <c r="A299" s="148" t="s">
        <v>4847</v>
      </c>
      <c r="B299" s="1585" t="s">
        <v>4855</v>
      </c>
      <c r="C299" s="1585"/>
      <c r="D299" s="1585"/>
      <c r="E299" s="195">
        <v>6.8000000000000005E-2</v>
      </c>
      <c r="F299" s="195">
        <v>7.0000000000000007E-2</v>
      </c>
      <c r="G299" s="195">
        <v>6.7000000000000004E-2</v>
      </c>
      <c r="H299" s="195">
        <v>6.0999999999999999E-2</v>
      </c>
      <c r="I299" s="195">
        <v>5.6000000000000001E-2</v>
      </c>
      <c r="J299" s="195">
        <v>5.7000000000000002E-2</v>
      </c>
      <c r="K299" s="195">
        <v>6.0999999999999999E-2</v>
      </c>
      <c r="L299" s="195">
        <v>6.0999999999999999E-2</v>
      </c>
      <c r="M299" s="195">
        <v>5.7000000000000002E-2</v>
      </c>
      <c r="N299" s="195">
        <v>5.8999999999999997E-2</v>
      </c>
      <c r="O299" s="195">
        <v>6.0999999999999999E-2</v>
      </c>
      <c r="P299" s="195">
        <v>6.8000000000000005E-2</v>
      </c>
      <c r="Q299" s="177">
        <f>SUM(E299:P299)/12</f>
        <v>6.2166666666666669E-2</v>
      </c>
      <c r="R299" s="196"/>
      <c r="S299" s="181"/>
    </row>
    <row r="300" spans="1:19" s="146" customFormat="1" ht="50.1" customHeight="1">
      <c r="A300" s="148" t="s">
        <v>4848</v>
      </c>
      <c r="B300" s="1585" t="s">
        <v>4855</v>
      </c>
      <c r="C300" s="1585"/>
      <c r="D300" s="1585"/>
      <c r="E300" s="195">
        <v>0.72499999999999998</v>
      </c>
      <c r="F300" s="195">
        <v>0.69599999999999995</v>
      </c>
      <c r="G300" s="195">
        <v>0.59599999999999997</v>
      </c>
      <c r="H300" s="195">
        <v>0.56599999999999995</v>
      </c>
      <c r="I300" s="195">
        <v>0.54800000000000004</v>
      </c>
      <c r="J300" s="195">
        <v>0.58299999999999996</v>
      </c>
      <c r="K300" s="195">
        <v>0.56399999999999995</v>
      </c>
      <c r="L300" s="195">
        <v>0.51600000000000001</v>
      </c>
      <c r="M300" s="195">
        <v>0.61599999999999999</v>
      </c>
      <c r="N300" s="195">
        <v>0.58799999999999997</v>
      </c>
      <c r="O300" s="195">
        <v>0.63300000000000001</v>
      </c>
      <c r="P300" s="195">
        <v>0.629</v>
      </c>
      <c r="Q300" s="177">
        <f>SUM(E300:P300)/12</f>
        <v>0.60499999999999998</v>
      </c>
      <c r="R300" s="196"/>
      <c r="S300" s="181"/>
    </row>
    <row r="301" spans="1:19" customFormat="1" ht="50.1" customHeight="1">
      <c r="A301" s="197" t="s">
        <v>4844</v>
      </c>
      <c r="B301" s="1585" t="s">
        <v>4855</v>
      </c>
      <c r="C301" s="1585"/>
      <c r="D301" s="1585"/>
      <c r="E301" s="198">
        <v>2.6120000000000001</v>
      </c>
      <c r="F301" s="198">
        <v>2.464</v>
      </c>
      <c r="G301" s="198">
        <v>2.3380000000000001</v>
      </c>
      <c r="H301" s="198">
        <v>1.95</v>
      </c>
      <c r="I301" s="198">
        <v>1.6120000000000001</v>
      </c>
      <c r="J301" s="198">
        <v>1.5</v>
      </c>
      <c r="K301" s="198">
        <v>1.774</v>
      </c>
      <c r="L301" s="198">
        <v>1.9350000000000001</v>
      </c>
      <c r="M301" s="198">
        <v>1.65</v>
      </c>
      <c r="N301" s="198">
        <v>2.177</v>
      </c>
      <c r="O301" s="198">
        <v>2.3330000000000002</v>
      </c>
      <c r="P301" s="198">
        <v>2.5</v>
      </c>
      <c r="Q301" s="177">
        <f>SUM(E301:P301)/12</f>
        <v>2.0704166666666666</v>
      </c>
      <c r="R301" s="199"/>
      <c r="S301" s="199"/>
    </row>
    <row r="302" spans="1:19" s="200" customFormat="1" ht="17.25" customHeight="1"/>
    <row r="303" spans="1:19" s="201" customFormat="1" ht="27" customHeight="1">
      <c r="A303" s="1600" t="s">
        <v>672</v>
      </c>
      <c r="B303" s="1600"/>
      <c r="C303" s="1600"/>
      <c r="D303" s="1600"/>
      <c r="E303" s="1600"/>
      <c r="F303" s="1600"/>
      <c r="G303" s="1600"/>
      <c r="H303" s="1600"/>
      <c r="I303" s="1600"/>
      <c r="J303" s="1600"/>
      <c r="K303" s="1600"/>
      <c r="L303" s="1600"/>
      <c r="M303" s="1600"/>
      <c r="N303" s="1600"/>
      <c r="O303" s="1600"/>
      <c r="P303" s="1600"/>
      <c r="Q303" s="1600"/>
    </row>
    <row r="304" spans="1:19" customFormat="1" ht="26.25">
      <c r="A304" s="1601" t="s">
        <v>1459</v>
      </c>
      <c r="B304" s="1601"/>
      <c r="C304" s="1601"/>
      <c r="D304" s="1601"/>
      <c r="E304" s="1601"/>
      <c r="F304" s="1601"/>
      <c r="G304" s="1601"/>
      <c r="H304" s="1601"/>
      <c r="I304" s="1601"/>
      <c r="J304" s="1601"/>
      <c r="K304" s="1601"/>
      <c r="L304" s="1601"/>
      <c r="M304" s="1601"/>
      <c r="N304" s="1601"/>
      <c r="O304" s="1601"/>
      <c r="P304" s="1601"/>
      <c r="Q304" s="1601"/>
    </row>
    <row r="305" spans="1:17" customFormat="1">
      <c r="A305" s="1615" t="s">
        <v>673</v>
      </c>
      <c r="B305" s="1615"/>
      <c r="C305" s="1615"/>
      <c r="D305" s="1615"/>
      <c r="E305" s="1615"/>
      <c r="F305" s="1615"/>
      <c r="G305" s="1615"/>
      <c r="H305" s="1615"/>
      <c r="I305" s="1615"/>
      <c r="J305" s="1615"/>
      <c r="K305" s="1615"/>
      <c r="L305" s="1615"/>
      <c r="M305" s="1615"/>
      <c r="N305" s="1615"/>
      <c r="O305" s="1615"/>
      <c r="P305" s="1615"/>
      <c r="Q305" s="1615"/>
    </row>
    <row r="306" spans="1:17" customFormat="1" ht="27.75" customHeight="1">
      <c r="A306" s="1594" t="s">
        <v>1460</v>
      </c>
      <c r="B306" s="1594"/>
      <c r="C306" s="1594"/>
      <c r="D306" s="1594"/>
      <c r="E306" s="1594"/>
      <c r="F306" s="1594"/>
      <c r="G306" s="1594"/>
      <c r="H306" s="1594"/>
      <c r="I306" s="1594"/>
      <c r="J306" s="1594"/>
      <c r="K306" s="1594"/>
      <c r="L306" s="1594"/>
      <c r="M306" s="1594"/>
      <c r="N306" s="1594"/>
      <c r="O306" s="1594"/>
      <c r="P306" s="1594"/>
      <c r="Q306" s="144"/>
    </row>
    <row r="307" spans="1:17" customFormat="1" ht="24.95" customHeight="1">
      <c r="A307" s="1592" t="s">
        <v>1461</v>
      </c>
      <c r="B307" s="1592"/>
      <c r="C307" s="1592"/>
      <c r="D307" s="1592"/>
      <c r="E307" s="145"/>
      <c r="F307" s="145"/>
      <c r="G307" s="145"/>
      <c r="H307" s="145"/>
      <c r="I307" s="145"/>
      <c r="J307" s="145"/>
      <c r="K307" s="145"/>
      <c r="L307" s="145"/>
      <c r="M307" s="145"/>
      <c r="N307" s="145"/>
      <c r="O307" s="145"/>
      <c r="P307" s="145"/>
      <c r="Q307" s="144"/>
    </row>
    <row r="308" spans="1:17" s="146" customFormat="1" ht="46.5" customHeight="1">
      <c r="A308" s="1590" t="s">
        <v>1462</v>
      </c>
      <c r="B308" s="1590"/>
      <c r="C308" s="1582" t="s">
        <v>1463</v>
      </c>
      <c r="D308" s="1582" t="s">
        <v>1464</v>
      </c>
      <c r="E308" s="1590" t="s">
        <v>1465</v>
      </c>
      <c r="F308" s="1590"/>
      <c r="G308" s="1590"/>
      <c r="H308" s="1590"/>
      <c r="I308" s="1590"/>
      <c r="J308" s="1590"/>
      <c r="K308" s="1590"/>
      <c r="L308" s="1590"/>
      <c r="M308" s="1590"/>
      <c r="N308" s="1590"/>
      <c r="O308" s="1590"/>
      <c r="P308" s="1590"/>
      <c r="Q308" s="1582" t="s">
        <v>1466</v>
      </c>
    </row>
    <row r="309" spans="1:17" s="146" customFormat="1" ht="60" customHeight="1">
      <c r="A309" s="1590"/>
      <c r="B309" s="1590"/>
      <c r="C309" s="1582"/>
      <c r="D309" s="1583"/>
      <c r="E309" s="1590" t="s">
        <v>1467</v>
      </c>
      <c r="F309" s="1590"/>
      <c r="G309" s="1590"/>
      <c r="H309" s="1590" t="s">
        <v>1468</v>
      </c>
      <c r="I309" s="1590"/>
      <c r="J309" s="1590"/>
      <c r="K309" s="1590" t="s">
        <v>1469</v>
      </c>
      <c r="L309" s="1590"/>
      <c r="M309" s="1590"/>
      <c r="N309" s="1590" t="s">
        <v>1470</v>
      </c>
      <c r="O309" s="1590"/>
      <c r="P309" s="1590"/>
      <c r="Q309" s="1582"/>
    </row>
    <row r="310" spans="1:17" s="146" customFormat="1" ht="31.5" customHeight="1">
      <c r="A310" s="1590"/>
      <c r="B310" s="1590"/>
      <c r="C310" s="1582"/>
      <c r="D310" s="1583"/>
      <c r="E310" s="147" t="s">
        <v>1471</v>
      </c>
      <c r="F310" s="147" t="s">
        <v>1472</v>
      </c>
      <c r="G310" s="147" t="s">
        <v>1473</v>
      </c>
      <c r="H310" s="147" t="s">
        <v>1474</v>
      </c>
      <c r="I310" s="147" t="s">
        <v>1475</v>
      </c>
      <c r="J310" s="147" t="s">
        <v>1476</v>
      </c>
      <c r="K310" s="147" t="s">
        <v>1477</v>
      </c>
      <c r="L310" s="147" t="s">
        <v>1478</v>
      </c>
      <c r="M310" s="147" t="s">
        <v>1479</v>
      </c>
      <c r="N310" s="147" t="s">
        <v>1480</v>
      </c>
      <c r="O310" s="147" t="s">
        <v>1481</v>
      </c>
      <c r="P310" s="147" t="s">
        <v>4522</v>
      </c>
      <c r="Q310" s="1582"/>
    </row>
    <row r="311" spans="1:17" s="146" customFormat="1" ht="18" customHeight="1">
      <c r="A311" s="148">
        <v>1</v>
      </c>
      <c r="B311" s="148">
        <v>2</v>
      </c>
      <c r="C311" s="148">
        <v>3</v>
      </c>
      <c r="D311" s="148">
        <v>4</v>
      </c>
      <c r="E311" s="149">
        <v>5</v>
      </c>
      <c r="F311" s="149">
        <v>6</v>
      </c>
      <c r="G311" s="149">
        <v>7</v>
      </c>
      <c r="H311" s="149">
        <v>8</v>
      </c>
      <c r="I311" s="149">
        <v>9</v>
      </c>
      <c r="J311" s="149">
        <v>10</v>
      </c>
      <c r="K311" s="149">
        <v>11</v>
      </c>
      <c r="L311" s="149">
        <v>12</v>
      </c>
      <c r="M311" s="149">
        <v>13</v>
      </c>
      <c r="N311" s="149">
        <v>14</v>
      </c>
      <c r="O311" s="149">
        <v>15</v>
      </c>
      <c r="P311" s="149">
        <v>16</v>
      </c>
      <c r="Q311" s="149">
        <v>17</v>
      </c>
    </row>
    <row r="312" spans="1:17" s="146" customFormat="1" ht="60" customHeight="1">
      <c r="A312" s="1584" t="s">
        <v>4836</v>
      </c>
      <c r="B312" s="1584"/>
      <c r="C312" s="1584"/>
      <c r="D312" s="1584"/>
      <c r="E312" s="202">
        <f t="shared" ref="E312:P312" si="21">E320+E321+E322+E323+E324</f>
        <v>12052.846999999998</v>
      </c>
      <c r="F312" s="202">
        <f t="shared" si="21"/>
        <v>14312.519000000002</v>
      </c>
      <c r="G312" s="202">
        <f t="shared" si="21"/>
        <v>15298.493999999999</v>
      </c>
      <c r="H312" s="202">
        <f t="shared" si="21"/>
        <v>14230.806</v>
      </c>
      <c r="I312" s="202">
        <f t="shared" si="21"/>
        <v>15069.366000000002</v>
      </c>
      <c r="J312" s="202">
        <f t="shared" si="21"/>
        <v>15888.178</v>
      </c>
      <c r="K312" s="202">
        <f t="shared" si="21"/>
        <v>16062.191999999999</v>
      </c>
      <c r="L312" s="202">
        <f t="shared" si="21"/>
        <v>14655.876</v>
      </c>
      <c r="M312" s="202">
        <f t="shared" si="21"/>
        <v>6041.5040000000008</v>
      </c>
      <c r="N312" s="202">
        <f t="shared" si="21"/>
        <v>12573.082</v>
      </c>
      <c r="O312" s="202">
        <f t="shared" si="21"/>
        <v>11295.476999999999</v>
      </c>
      <c r="P312" s="202">
        <f t="shared" si="21"/>
        <v>12579.01</v>
      </c>
      <c r="Q312" s="203">
        <f>SUM(E312:P312)</f>
        <v>160059.35100000002</v>
      </c>
    </row>
    <row r="313" spans="1:17" s="146" customFormat="1" ht="27" customHeight="1">
      <c r="A313" s="1586" t="s">
        <v>4837</v>
      </c>
      <c r="B313" s="1587"/>
      <c r="C313" s="1587"/>
      <c r="D313" s="1587"/>
      <c r="E313" s="1587"/>
      <c r="F313" s="1587"/>
      <c r="G313" s="1587"/>
      <c r="H313" s="1587"/>
      <c r="I313" s="1587"/>
      <c r="J313" s="1587"/>
      <c r="K313" s="1587"/>
      <c r="L313" s="1587"/>
      <c r="M313" s="1587"/>
      <c r="N313" s="1587"/>
      <c r="O313" s="1587"/>
      <c r="P313" s="1587"/>
      <c r="Q313" s="1588"/>
    </row>
    <row r="314" spans="1:17" s="146" customFormat="1" ht="50.1" customHeight="1">
      <c r="A314" s="204" t="s">
        <v>674</v>
      </c>
      <c r="B314" s="205" t="s">
        <v>4839</v>
      </c>
      <c r="C314" s="205" t="s">
        <v>4840</v>
      </c>
      <c r="D314" s="205" t="s">
        <v>4841</v>
      </c>
      <c r="E314" s="206">
        <f t="shared" ref="E314:P314" si="22">E312+E315+E316+E317+E318</f>
        <v>41302.546999999999</v>
      </c>
      <c r="F314" s="206">
        <f t="shared" si="22"/>
        <v>39699.892</v>
      </c>
      <c r="G314" s="206">
        <f t="shared" si="22"/>
        <v>46685.062999999995</v>
      </c>
      <c r="H314" s="206">
        <f t="shared" si="22"/>
        <v>32960.309000000001</v>
      </c>
      <c r="I314" s="206">
        <f t="shared" si="22"/>
        <v>35989.946000000004</v>
      </c>
      <c r="J314" s="206">
        <f t="shared" si="22"/>
        <v>38759.243999999999</v>
      </c>
      <c r="K314" s="206">
        <f t="shared" si="22"/>
        <v>44821.554000000004</v>
      </c>
      <c r="L314" s="206">
        <f t="shared" si="22"/>
        <v>44877.084999999999</v>
      </c>
      <c r="M314" s="206">
        <f t="shared" si="22"/>
        <v>28142.151000000002</v>
      </c>
      <c r="N314" s="206">
        <f t="shared" si="22"/>
        <v>34245.078999999998</v>
      </c>
      <c r="O314" s="206">
        <f t="shared" si="22"/>
        <v>34789.915999999997</v>
      </c>
      <c r="P314" s="206">
        <f t="shared" si="22"/>
        <v>36192.305999999997</v>
      </c>
      <c r="Q314" s="207">
        <f>SUM(E314:P314)</f>
        <v>458465.09199999995</v>
      </c>
    </row>
    <row r="315" spans="1:17" s="146" customFormat="1" ht="50.1" customHeight="1">
      <c r="A315" s="204" t="s">
        <v>674</v>
      </c>
      <c r="B315" s="205" t="s">
        <v>4839</v>
      </c>
      <c r="C315" s="205" t="s">
        <v>4840</v>
      </c>
      <c r="D315" s="205" t="s">
        <v>4842</v>
      </c>
      <c r="E315" s="205">
        <v>15369.7</v>
      </c>
      <c r="F315" s="206">
        <v>12867.373</v>
      </c>
      <c r="G315" s="206">
        <v>18926.569</v>
      </c>
      <c r="H315" s="206">
        <v>7479.5029999999997</v>
      </c>
      <c r="I315" s="206">
        <v>10440.58</v>
      </c>
      <c r="J315" s="206">
        <v>13101.066000000001</v>
      </c>
      <c r="K315" s="206">
        <v>16679.362000000001</v>
      </c>
      <c r="L315" s="206">
        <v>18731.208999999999</v>
      </c>
      <c r="M315" s="206">
        <v>12025.647000000001</v>
      </c>
      <c r="N315" s="206">
        <v>9271.9969999999994</v>
      </c>
      <c r="O315" s="206">
        <v>11254.439</v>
      </c>
      <c r="P315" s="206">
        <v>10013.296</v>
      </c>
      <c r="Q315" s="208">
        <f>SUM(E315:P315)</f>
        <v>156160.74100000001</v>
      </c>
    </row>
    <row r="316" spans="1:17" s="171" customFormat="1" ht="50.1" customHeight="1">
      <c r="A316" s="209" t="s">
        <v>4843</v>
      </c>
      <c r="B316" s="209" t="s">
        <v>4839</v>
      </c>
      <c r="C316" s="205" t="s">
        <v>4840</v>
      </c>
      <c r="D316" s="209" t="s">
        <v>4842</v>
      </c>
      <c r="E316" s="209">
        <v>5200</v>
      </c>
      <c r="F316" s="210">
        <v>4950</v>
      </c>
      <c r="G316" s="210">
        <v>4800</v>
      </c>
      <c r="H316" s="210">
        <v>4400</v>
      </c>
      <c r="I316" s="210">
        <v>4430</v>
      </c>
      <c r="J316" s="210">
        <v>4320</v>
      </c>
      <c r="K316" s="210">
        <v>4950</v>
      </c>
      <c r="L316" s="210">
        <v>4500</v>
      </c>
      <c r="M316" s="210">
        <v>4200</v>
      </c>
      <c r="N316" s="210">
        <v>5000</v>
      </c>
      <c r="O316" s="210">
        <v>5000</v>
      </c>
      <c r="P316" s="210">
        <v>5400</v>
      </c>
      <c r="Q316" s="211">
        <f>SUM(E316:P316)</f>
        <v>57150</v>
      </c>
    </row>
    <row r="317" spans="1:17" s="171" customFormat="1" ht="50.1" customHeight="1">
      <c r="A317" s="209" t="s">
        <v>670</v>
      </c>
      <c r="B317" s="209" t="s">
        <v>4839</v>
      </c>
      <c r="C317" s="205" t="s">
        <v>4840</v>
      </c>
      <c r="D317" s="209" t="s">
        <v>4842</v>
      </c>
      <c r="E317" s="209">
        <v>580</v>
      </c>
      <c r="F317" s="210">
        <v>550</v>
      </c>
      <c r="G317" s="210">
        <v>590</v>
      </c>
      <c r="H317" s="210">
        <v>550</v>
      </c>
      <c r="I317" s="210">
        <v>550</v>
      </c>
      <c r="J317" s="210">
        <v>600</v>
      </c>
      <c r="K317" s="210">
        <v>630</v>
      </c>
      <c r="L317" s="210">
        <v>610</v>
      </c>
      <c r="M317" s="210">
        <v>580</v>
      </c>
      <c r="N317" s="210">
        <v>600</v>
      </c>
      <c r="O317" s="210">
        <v>320</v>
      </c>
      <c r="P317" s="210">
        <v>650</v>
      </c>
      <c r="Q317" s="211">
        <f>SUM(E317:P317)</f>
        <v>6810</v>
      </c>
    </row>
    <row r="318" spans="1:17" s="146" customFormat="1" ht="50.1" customHeight="1">
      <c r="A318" s="205" t="s">
        <v>4844</v>
      </c>
      <c r="B318" s="205" t="s">
        <v>4839</v>
      </c>
      <c r="C318" s="205" t="s">
        <v>4840</v>
      </c>
      <c r="D318" s="205" t="s">
        <v>4842</v>
      </c>
      <c r="E318" s="205">
        <v>8100</v>
      </c>
      <c r="F318" s="206">
        <v>7020</v>
      </c>
      <c r="G318" s="206">
        <v>7070</v>
      </c>
      <c r="H318" s="206">
        <v>6300</v>
      </c>
      <c r="I318" s="206">
        <v>5500</v>
      </c>
      <c r="J318" s="206">
        <v>4850</v>
      </c>
      <c r="K318" s="206">
        <v>6500</v>
      </c>
      <c r="L318" s="206">
        <v>6380</v>
      </c>
      <c r="M318" s="206">
        <v>5295</v>
      </c>
      <c r="N318" s="206">
        <v>6800</v>
      </c>
      <c r="O318" s="206">
        <v>6920</v>
      </c>
      <c r="P318" s="206">
        <v>7550</v>
      </c>
      <c r="Q318" s="208">
        <f>SUM(E318:P318)</f>
        <v>78285</v>
      </c>
    </row>
    <row r="319" spans="1:17" s="146" customFormat="1" ht="39.950000000000003" customHeight="1">
      <c r="A319" s="1604" t="s">
        <v>4845</v>
      </c>
      <c r="B319" s="1604"/>
      <c r="C319" s="1604"/>
      <c r="D319" s="1604"/>
      <c r="E319" s="1604"/>
      <c r="F319" s="1604"/>
      <c r="G319" s="1604"/>
      <c r="H319" s="1604"/>
      <c r="I319" s="1604"/>
      <c r="J319" s="1604"/>
      <c r="K319" s="1604"/>
      <c r="L319" s="1604"/>
      <c r="M319" s="1604"/>
      <c r="N319" s="1604"/>
      <c r="O319" s="1604"/>
      <c r="P319" s="1604"/>
      <c r="Q319" s="1604"/>
    </row>
    <row r="320" spans="1:17" s="146" customFormat="1" ht="50.1" customHeight="1">
      <c r="A320" s="205" t="s">
        <v>4846</v>
      </c>
      <c r="B320" s="1603" t="s">
        <v>4839</v>
      </c>
      <c r="C320" s="1603"/>
      <c r="D320" s="1603"/>
      <c r="E320" s="212">
        <v>201.87899999999999</v>
      </c>
      <c r="F320" s="212">
        <v>753.36199999999997</v>
      </c>
      <c r="G320" s="212">
        <v>1121.797</v>
      </c>
      <c r="H320" s="212">
        <v>1899.443</v>
      </c>
      <c r="I320" s="212">
        <v>2206.308</v>
      </c>
      <c r="J320" s="212">
        <v>2318.3319999999999</v>
      </c>
      <c r="K320" s="212">
        <v>2374.5549999999998</v>
      </c>
      <c r="L320" s="212">
        <v>2221.0949999999998</v>
      </c>
      <c r="M320" s="206">
        <v>443.92200000000003</v>
      </c>
      <c r="N320" s="206">
        <v>1595.09</v>
      </c>
      <c r="O320" s="206">
        <v>556.43700000000001</v>
      </c>
      <c r="P320" s="206">
        <v>113.206</v>
      </c>
      <c r="Q320" s="208">
        <f>SUM(E320:P320)</f>
        <v>15805.425999999999</v>
      </c>
    </row>
    <row r="321" spans="1:137" s="146" customFormat="1" ht="50.1" customHeight="1">
      <c r="A321" s="205" t="s">
        <v>4847</v>
      </c>
      <c r="B321" s="1603" t="s">
        <v>4839</v>
      </c>
      <c r="C321" s="1603"/>
      <c r="D321" s="1603"/>
      <c r="E321" s="212">
        <v>480.85</v>
      </c>
      <c r="F321" s="212">
        <v>483.11200000000002</v>
      </c>
      <c r="G321" s="212">
        <v>504.322</v>
      </c>
      <c r="H321" s="212">
        <v>368.13200000000001</v>
      </c>
      <c r="I321" s="212">
        <v>968.572</v>
      </c>
      <c r="J321" s="212">
        <v>550.11500000000001</v>
      </c>
      <c r="K321" s="212">
        <v>497.06900000000002</v>
      </c>
      <c r="L321" s="212">
        <v>421.803</v>
      </c>
      <c r="M321" s="206">
        <v>311.40199999999999</v>
      </c>
      <c r="N321" s="206">
        <v>1043.7950000000001</v>
      </c>
      <c r="O321" s="206">
        <v>814.476</v>
      </c>
      <c r="P321" s="206">
        <v>654.32000000000005</v>
      </c>
      <c r="Q321" s="208">
        <f>SUM(E321:P321)</f>
        <v>7097.9679999999998</v>
      </c>
    </row>
    <row r="322" spans="1:137" s="146" customFormat="1" ht="50.1" customHeight="1">
      <c r="A322" s="148" t="s">
        <v>675</v>
      </c>
      <c r="B322" s="1603" t="s">
        <v>4839</v>
      </c>
      <c r="C322" s="1603"/>
      <c r="D322" s="1603"/>
      <c r="E322" s="212">
        <v>185.755</v>
      </c>
      <c r="F322" s="212">
        <v>179.86500000000001</v>
      </c>
      <c r="G322" s="212">
        <v>206.4</v>
      </c>
      <c r="H322" s="212">
        <v>127.378</v>
      </c>
      <c r="I322" s="212">
        <v>113.81</v>
      </c>
      <c r="J322" s="212">
        <v>123.03100000000001</v>
      </c>
      <c r="K322" s="212">
        <v>121.69499999999999</v>
      </c>
      <c r="L322" s="212">
        <v>121.559</v>
      </c>
      <c r="M322" s="212">
        <v>114.286</v>
      </c>
      <c r="N322" s="206">
        <v>154.98099999999999</v>
      </c>
      <c r="O322" s="206">
        <v>171.36199999999999</v>
      </c>
      <c r="P322" s="206">
        <v>195.17099999999999</v>
      </c>
      <c r="Q322" s="208">
        <f>SUM(E322:P322)</f>
        <v>1815.2930000000001</v>
      </c>
    </row>
    <row r="323" spans="1:137" s="146" customFormat="1" ht="50.1" customHeight="1">
      <c r="A323" s="205" t="s">
        <v>676</v>
      </c>
      <c r="B323" s="1603" t="s">
        <v>4839</v>
      </c>
      <c r="C323" s="1603"/>
      <c r="D323" s="1603"/>
      <c r="E323" s="212">
        <v>262.8</v>
      </c>
      <c r="F323" s="212">
        <v>255.136</v>
      </c>
      <c r="G323" s="212">
        <v>241.42400000000001</v>
      </c>
      <c r="H323" s="212">
        <v>240</v>
      </c>
      <c r="I323" s="212">
        <v>247.44</v>
      </c>
      <c r="J323" s="212">
        <v>246.24</v>
      </c>
      <c r="K323" s="212">
        <v>255.6</v>
      </c>
      <c r="L323" s="212">
        <v>241.68</v>
      </c>
      <c r="M323" s="206">
        <v>250</v>
      </c>
      <c r="N323" s="206">
        <v>250</v>
      </c>
      <c r="O323" s="206">
        <v>250</v>
      </c>
      <c r="P323" s="206">
        <v>260</v>
      </c>
      <c r="Q323" s="208">
        <f>SUM(E323:P323)</f>
        <v>3000.3199999999997</v>
      </c>
    </row>
    <row r="324" spans="1:137" s="171" customFormat="1" ht="66.75" customHeight="1">
      <c r="A324" s="202" t="s">
        <v>4849</v>
      </c>
      <c r="B324" s="1610" t="s">
        <v>4839</v>
      </c>
      <c r="C324" s="1610"/>
      <c r="D324" s="1610"/>
      <c r="E324" s="212">
        <f>11123.442-E320</f>
        <v>10921.562999999998</v>
      </c>
      <c r="F324" s="212">
        <f>13394.406-F320</f>
        <v>12641.044000000002</v>
      </c>
      <c r="G324" s="212">
        <f>14346.348-G320</f>
        <v>13224.550999999999</v>
      </c>
      <c r="H324" s="212">
        <f>13495.296-H320</f>
        <v>11595.853000000001</v>
      </c>
      <c r="I324" s="212">
        <f>13739.544-I320</f>
        <v>11533.236000000001</v>
      </c>
      <c r="J324" s="212">
        <f>14968.792-J320</f>
        <v>12650.46</v>
      </c>
      <c r="K324" s="212">
        <f>15187.828-K320</f>
        <v>12813.272999999999</v>
      </c>
      <c r="L324" s="212">
        <f>13870.834-L320</f>
        <v>11649.739000000001</v>
      </c>
      <c r="M324" s="212">
        <v>4921.8940000000002</v>
      </c>
      <c r="N324" s="212">
        <v>9529.2160000000003</v>
      </c>
      <c r="O324" s="212">
        <v>9503.2019999999993</v>
      </c>
      <c r="P324" s="212">
        <v>11356.313</v>
      </c>
      <c r="Q324" s="213">
        <f>SUM(E324:P324)</f>
        <v>132340.34400000001</v>
      </c>
    </row>
    <row r="325" spans="1:137" s="146" customFormat="1" ht="29.25" customHeight="1">
      <c r="A325" s="1608" t="s">
        <v>4850</v>
      </c>
      <c r="B325" s="1608"/>
      <c r="C325" s="1608"/>
      <c r="D325" s="1608"/>
      <c r="E325" s="1608"/>
      <c r="F325" s="1608"/>
      <c r="G325" s="1608"/>
      <c r="H325" s="1608"/>
      <c r="I325" s="1608"/>
      <c r="J325" s="1608"/>
      <c r="K325" s="1608"/>
      <c r="L325" s="1608"/>
      <c r="M325" s="1608"/>
      <c r="N325" s="1608"/>
      <c r="O325" s="1608"/>
      <c r="P325" s="1608"/>
      <c r="Q325" s="1608"/>
    </row>
    <row r="326" spans="1:137" s="146" customFormat="1" ht="50.1" customHeight="1">
      <c r="A326" s="1602" t="s">
        <v>1462</v>
      </c>
      <c r="B326" s="1602"/>
      <c r="C326" s="1605" t="s">
        <v>1463</v>
      </c>
      <c r="D326" s="1605" t="s">
        <v>1464</v>
      </c>
      <c r="E326" s="1602" t="s">
        <v>4851</v>
      </c>
      <c r="F326" s="1602"/>
      <c r="G326" s="1602"/>
      <c r="H326" s="1602"/>
      <c r="I326" s="1602"/>
      <c r="J326" s="1602"/>
      <c r="K326" s="1602"/>
      <c r="L326" s="1602"/>
      <c r="M326" s="1602"/>
      <c r="N326" s="1602"/>
      <c r="O326" s="1602"/>
      <c r="P326" s="1602"/>
      <c r="Q326" s="1605" t="s">
        <v>1466</v>
      </c>
    </row>
    <row r="327" spans="1:137" s="146" customFormat="1" ht="50.1" customHeight="1">
      <c r="A327" s="1602"/>
      <c r="B327" s="1602"/>
      <c r="C327" s="1605"/>
      <c r="D327" s="1609"/>
      <c r="E327" s="1602" t="s">
        <v>1467</v>
      </c>
      <c r="F327" s="1602"/>
      <c r="G327" s="1602"/>
      <c r="H327" s="1602" t="s">
        <v>1468</v>
      </c>
      <c r="I327" s="1602"/>
      <c r="J327" s="1602"/>
      <c r="K327" s="1602" t="s">
        <v>1469</v>
      </c>
      <c r="L327" s="1602"/>
      <c r="M327" s="1602"/>
      <c r="N327" s="1602" t="s">
        <v>1470</v>
      </c>
      <c r="O327" s="1602"/>
      <c r="P327" s="1602"/>
      <c r="Q327" s="1605"/>
    </row>
    <row r="328" spans="1:137" s="146" customFormat="1" ht="50.1" customHeight="1">
      <c r="A328" s="1602"/>
      <c r="B328" s="1602"/>
      <c r="C328" s="1605"/>
      <c r="D328" s="1609"/>
      <c r="E328" s="214" t="s">
        <v>1471</v>
      </c>
      <c r="F328" s="214" t="s">
        <v>1472</v>
      </c>
      <c r="G328" s="214" t="s">
        <v>1473</v>
      </c>
      <c r="H328" s="214" t="s">
        <v>1474</v>
      </c>
      <c r="I328" s="214" t="s">
        <v>1475</v>
      </c>
      <c r="J328" s="214" t="s">
        <v>1476</v>
      </c>
      <c r="K328" s="214" t="s">
        <v>1477</v>
      </c>
      <c r="L328" s="214" t="s">
        <v>1478</v>
      </c>
      <c r="M328" s="214" t="s">
        <v>1479</v>
      </c>
      <c r="N328" s="214" t="s">
        <v>1480</v>
      </c>
      <c r="O328" s="214" t="s">
        <v>1481</v>
      </c>
      <c r="P328" s="214" t="s">
        <v>4522</v>
      </c>
      <c r="Q328" s="1605"/>
    </row>
    <row r="329" spans="1:137" s="221" customFormat="1" ht="18" customHeight="1">
      <c r="A329" s="1616">
        <v>1</v>
      </c>
      <c r="B329" s="1616"/>
      <c r="C329" s="220">
        <v>2</v>
      </c>
      <c r="D329" s="220">
        <v>3</v>
      </c>
      <c r="E329" s="220">
        <v>4</v>
      </c>
      <c r="F329" s="220">
        <v>5</v>
      </c>
      <c r="G329" s="220">
        <v>6</v>
      </c>
      <c r="H329" s="220">
        <v>7</v>
      </c>
      <c r="I329" s="220">
        <v>8</v>
      </c>
      <c r="J329" s="220">
        <v>9</v>
      </c>
      <c r="K329" s="220">
        <v>10</v>
      </c>
      <c r="L329" s="220">
        <v>11</v>
      </c>
      <c r="M329" s="220">
        <v>12</v>
      </c>
      <c r="N329" s="220">
        <v>13</v>
      </c>
      <c r="O329" s="220">
        <v>14</v>
      </c>
      <c r="P329" s="220">
        <v>15</v>
      </c>
      <c r="Q329" s="220">
        <v>16</v>
      </c>
    </row>
    <row r="330" spans="1:137" s="146" customFormat="1" ht="54.95" customHeight="1">
      <c r="A330" s="1606" t="s">
        <v>4854</v>
      </c>
      <c r="B330" s="1606"/>
      <c r="C330" s="1606"/>
      <c r="D330" s="1606"/>
      <c r="E330" s="215">
        <f>E332+E333+E334+E335+E336+E337+E338+E339+E340</f>
        <v>67.131993279569883</v>
      </c>
      <c r="F330" s="215">
        <f t="shared" ref="F330:P330" si="23">F332+F333+F334+F335+F336+F337+F338+F339+F340</f>
        <v>67.279885416666673</v>
      </c>
      <c r="G330" s="215">
        <f t="shared" si="23"/>
        <v>68.890594086021494</v>
      </c>
      <c r="H330" s="215">
        <f t="shared" si="23"/>
        <v>49.952036111111113</v>
      </c>
      <c r="I330" s="215">
        <f t="shared" si="23"/>
        <v>54.827497311827955</v>
      </c>
      <c r="J330" s="215">
        <f t="shared" si="23"/>
        <v>69.184677777777765</v>
      </c>
      <c r="K330" s="215">
        <f t="shared" si="23"/>
        <v>81.98145430107526</v>
      </c>
      <c r="L330" s="215">
        <f t="shared" si="23"/>
        <v>78.761612903225796</v>
      </c>
      <c r="M330" s="215">
        <f t="shared" si="23"/>
        <v>46.147036111111113</v>
      </c>
      <c r="N330" s="215">
        <f t="shared" si="23"/>
        <v>57.604752688172042</v>
      </c>
      <c r="O330" s="215">
        <f t="shared" si="23"/>
        <v>57.302379166666668</v>
      </c>
      <c r="P330" s="215">
        <f t="shared" si="23"/>
        <v>57.08430510752688</v>
      </c>
      <c r="Q330" s="207">
        <f>SUM(E330:P330)/12</f>
        <v>63.012352021729392</v>
      </c>
    </row>
    <row r="331" spans="1:137" s="222" customFormat="1" ht="29.25" customHeight="1">
      <c r="A331" s="222" t="s">
        <v>4837</v>
      </c>
      <c r="E331" s="223"/>
      <c r="F331" s="223"/>
      <c r="G331" s="223"/>
      <c r="H331" s="223"/>
      <c r="I331" s="223"/>
      <c r="J331" s="223"/>
      <c r="K331" s="223"/>
      <c r="L331" s="223"/>
      <c r="M331" s="223"/>
      <c r="R331" s="224"/>
      <c r="S331" s="224"/>
      <c r="T331" s="224"/>
      <c r="U331" s="224"/>
      <c r="V331" s="224"/>
      <c r="W331" s="224"/>
      <c r="X331" s="224"/>
      <c r="Y331" s="224"/>
      <c r="Z331" s="224"/>
      <c r="AA331" s="224"/>
      <c r="AB331" s="224"/>
      <c r="AC331" s="224"/>
      <c r="AD331" s="224"/>
      <c r="AE331" s="224"/>
      <c r="AF331" s="224"/>
      <c r="AG331" s="224"/>
      <c r="AH331" s="224"/>
      <c r="AI331" s="224"/>
      <c r="AJ331" s="224"/>
      <c r="AK331" s="224"/>
      <c r="AL331" s="224"/>
      <c r="AM331" s="224"/>
      <c r="AN331" s="224"/>
      <c r="AO331" s="224"/>
      <c r="AP331" s="224"/>
      <c r="AQ331" s="224"/>
      <c r="AR331" s="224"/>
      <c r="AS331" s="224"/>
      <c r="AT331" s="224"/>
      <c r="AU331" s="224"/>
      <c r="AV331" s="224"/>
      <c r="AW331" s="224"/>
      <c r="AX331" s="224"/>
      <c r="AY331" s="224"/>
      <c r="AZ331" s="224"/>
      <c r="BA331" s="224"/>
      <c r="BB331" s="224"/>
      <c r="BC331" s="224"/>
      <c r="BD331" s="224"/>
      <c r="BE331" s="224"/>
      <c r="BF331" s="224"/>
      <c r="BG331" s="224"/>
      <c r="BH331" s="224"/>
      <c r="BI331" s="224"/>
      <c r="BJ331" s="224"/>
      <c r="BK331" s="224"/>
      <c r="BL331" s="224"/>
      <c r="BM331" s="224"/>
      <c r="BN331" s="224"/>
      <c r="BO331" s="224"/>
      <c r="BP331" s="224"/>
      <c r="BQ331" s="224"/>
      <c r="BR331" s="224"/>
      <c r="BS331" s="224"/>
      <c r="BT331" s="224"/>
      <c r="BU331" s="224"/>
      <c r="BV331" s="224"/>
      <c r="BW331" s="224"/>
      <c r="BX331" s="224"/>
      <c r="BY331" s="224"/>
      <c r="BZ331" s="224"/>
      <c r="CA331" s="224"/>
      <c r="CB331" s="224"/>
      <c r="CC331" s="224"/>
      <c r="CD331" s="224"/>
      <c r="CE331" s="224"/>
      <c r="CF331" s="224"/>
      <c r="CG331" s="224"/>
      <c r="CH331" s="224"/>
      <c r="CI331" s="224"/>
      <c r="CJ331" s="224"/>
      <c r="CK331" s="224"/>
      <c r="CL331" s="224"/>
      <c r="CM331" s="224"/>
      <c r="CN331" s="224"/>
      <c r="CO331" s="224"/>
      <c r="CP331" s="224"/>
      <c r="CQ331" s="224"/>
      <c r="CR331" s="224"/>
      <c r="CS331" s="224"/>
      <c r="CT331" s="224"/>
      <c r="CU331" s="224"/>
      <c r="CV331" s="224"/>
      <c r="CW331" s="224"/>
      <c r="CX331" s="224"/>
      <c r="CY331" s="224"/>
      <c r="CZ331" s="224"/>
      <c r="DA331" s="224"/>
      <c r="DB331" s="224"/>
      <c r="DC331" s="224"/>
      <c r="DD331" s="224"/>
      <c r="DE331" s="224"/>
      <c r="DF331" s="224"/>
      <c r="DG331" s="224"/>
      <c r="DH331" s="224"/>
      <c r="DI331" s="224"/>
      <c r="DJ331" s="224"/>
      <c r="DK331" s="224"/>
      <c r="DL331" s="224"/>
      <c r="DM331" s="224"/>
      <c r="DN331" s="224"/>
      <c r="DO331" s="224"/>
      <c r="DP331" s="224"/>
      <c r="DQ331" s="224"/>
      <c r="DR331" s="224"/>
      <c r="DS331" s="224"/>
      <c r="DT331" s="224"/>
      <c r="DU331" s="224"/>
      <c r="DV331" s="224"/>
      <c r="DW331" s="224"/>
      <c r="DX331" s="224"/>
      <c r="DY331" s="224"/>
      <c r="DZ331" s="224"/>
      <c r="EA331" s="224"/>
      <c r="EB331" s="224"/>
      <c r="EC331" s="224"/>
      <c r="ED331" s="224"/>
      <c r="EE331" s="224"/>
      <c r="EF331" s="224"/>
      <c r="EG331" s="224"/>
    </row>
    <row r="332" spans="1:137" s="183" customFormat="1" ht="50.1" customHeight="1">
      <c r="A332" s="148" t="s">
        <v>4846</v>
      </c>
      <c r="B332" s="1585" t="s">
        <v>4855</v>
      </c>
      <c r="C332" s="1585"/>
      <c r="D332" s="1585"/>
      <c r="E332" s="179">
        <f>E320/8/31</f>
        <v>0.81402822580645162</v>
      </c>
      <c r="F332" s="179">
        <f>F320/8/28</f>
        <v>3.3632232142857141</v>
      </c>
      <c r="G332" s="179">
        <f>G320/8/31</f>
        <v>4.5233749999999997</v>
      </c>
      <c r="H332" s="179">
        <f>H320/8/30</f>
        <v>7.914345833333333</v>
      </c>
      <c r="I332" s="179">
        <f>I320/8/31</f>
        <v>8.896403225806452</v>
      </c>
      <c r="J332" s="179">
        <f>J320/8/30</f>
        <v>9.6597166666666663</v>
      </c>
      <c r="K332" s="179">
        <f>K320/8/31</f>
        <v>9.5748185483870962</v>
      </c>
      <c r="L332" s="179">
        <f>L320/8/31</f>
        <v>8.9560282258064507</v>
      </c>
      <c r="M332" s="179">
        <f>M320/8/30</f>
        <v>1.8496750000000002</v>
      </c>
      <c r="N332" s="178">
        <f>N320/8/31</f>
        <v>6.4318145161290321</v>
      </c>
      <c r="O332" s="178">
        <f>O320/8/30</f>
        <v>2.3184875000000003</v>
      </c>
      <c r="P332" s="178">
        <f>P320/8/31</f>
        <v>0.4564758064516129</v>
      </c>
      <c r="Q332" s="177">
        <f t="shared" ref="Q332:Q340" si="24">SUM(E332:P332)/12</f>
        <v>5.3965326468894004</v>
      </c>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2"/>
      <c r="BL332" s="182"/>
      <c r="BM332" s="182"/>
      <c r="BN332" s="182"/>
      <c r="BO332" s="182"/>
      <c r="BP332" s="182"/>
      <c r="BQ332" s="182"/>
      <c r="BR332" s="182"/>
      <c r="BS332" s="182"/>
      <c r="BT332" s="182"/>
      <c r="BU332" s="182"/>
      <c r="BV332" s="182"/>
      <c r="BW332" s="182"/>
      <c r="BX332" s="182"/>
      <c r="BY332" s="182"/>
      <c r="BZ332" s="182"/>
      <c r="CA332" s="182"/>
      <c r="CB332" s="182"/>
      <c r="CC332" s="182"/>
      <c r="CD332" s="182"/>
      <c r="CE332" s="182"/>
      <c r="CF332" s="182"/>
      <c r="CG332" s="182"/>
      <c r="CH332" s="182"/>
      <c r="CI332" s="182"/>
      <c r="CJ332" s="182"/>
      <c r="CK332" s="182"/>
      <c r="CL332" s="182"/>
      <c r="CM332" s="182"/>
      <c r="CN332" s="182"/>
      <c r="CO332" s="182"/>
      <c r="CP332" s="182"/>
      <c r="CQ332" s="182"/>
      <c r="CR332" s="182"/>
      <c r="CS332" s="182"/>
      <c r="CT332" s="182"/>
      <c r="CU332" s="182"/>
      <c r="CV332" s="182"/>
      <c r="CW332" s="182"/>
      <c r="CX332" s="182"/>
      <c r="CY332" s="182"/>
      <c r="CZ332" s="182"/>
      <c r="DA332" s="182"/>
      <c r="DB332" s="182"/>
      <c r="DC332" s="182"/>
      <c r="DD332" s="182"/>
      <c r="DE332" s="182"/>
      <c r="DF332" s="182"/>
      <c r="DG332" s="182"/>
      <c r="DH332" s="182"/>
      <c r="DI332" s="182"/>
      <c r="DJ332" s="182"/>
      <c r="DK332" s="182"/>
      <c r="DL332" s="182"/>
      <c r="DM332" s="182"/>
      <c r="DN332" s="182"/>
      <c r="DO332" s="182"/>
      <c r="DP332" s="182"/>
      <c r="DQ332" s="182"/>
      <c r="DR332" s="182"/>
      <c r="DS332" s="182"/>
      <c r="DT332" s="182"/>
      <c r="DU332" s="182"/>
      <c r="DV332" s="182"/>
      <c r="DW332" s="182"/>
      <c r="DX332" s="182"/>
      <c r="DY332" s="182"/>
      <c r="DZ332" s="182"/>
      <c r="EA332" s="182"/>
      <c r="EB332" s="182"/>
      <c r="EC332" s="182"/>
      <c r="ED332" s="182"/>
      <c r="EE332" s="182"/>
      <c r="EF332" s="182"/>
      <c r="EG332" s="182"/>
    </row>
    <row r="333" spans="1:137" s="183" customFormat="1" ht="50.1" customHeight="1">
      <c r="A333" s="148" t="s">
        <v>4847</v>
      </c>
      <c r="B333" s="1585" t="s">
        <v>4855</v>
      </c>
      <c r="C333" s="1585"/>
      <c r="D333" s="1585"/>
      <c r="E333" s="179">
        <f>E321/24/31</f>
        <v>0.64630376344086016</v>
      </c>
      <c r="F333" s="179">
        <f>F321/24/28</f>
        <v>0.71891666666666676</v>
      </c>
      <c r="G333" s="179">
        <f>G321/24/31</f>
        <v>0.67785215053763448</v>
      </c>
      <c r="H333" s="179">
        <f>H321/24/30</f>
        <v>0.5112944444444445</v>
      </c>
      <c r="I333" s="179">
        <f>I321/24/31</f>
        <v>1.3018440860215053</v>
      </c>
      <c r="J333" s="179">
        <f>J321/24/30</f>
        <v>0.76404861111111111</v>
      </c>
      <c r="K333" s="179">
        <f>K321/24/31</f>
        <v>0.66810349462365592</v>
      </c>
      <c r="L333" s="179">
        <f>L321/24/31</f>
        <v>0.56693951612903226</v>
      </c>
      <c r="M333" s="179">
        <f>M321/24/30</f>
        <v>0.43250277777777774</v>
      </c>
      <c r="N333" s="178">
        <f>N321/24/31</f>
        <v>1.4029502688172044</v>
      </c>
      <c r="O333" s="178">
        <f>O321/24/30</f>
        <v>1.1312166666666668</v>
      </c>
      <c r="P333" s="178">
        <f>P321/24/31</f>
        <v>0.8794623655913979</v>
      </c>
      <c r="Q333" s="177">
        <f t="shared" si="24"/>
        <v>0.80845290098566303</v>
      </c>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2"/>
      <c r="BL333" s="182"/>
      <c r="BM333" s="182"/>
      <c r="BN333" s="182"/>
      <c r="BO333" s="182"/>
      <c r="BP333" s="182"/>
      <c r="BQ333" s="182"/>
      <c r="BR333" s="182"/>
      <c r="BS333" s="182"/>
      <c r="BT333" s="182"/>
      <c r="BU333" s="182"/>
      <c r="BV333" s="182"/>
      <c r="BW333" s="182"/>
      <c r="BX333" s="182"/>
      <c r="BY333" s="182"/>
      <c r="BZ333" s="182"/>
      <c r="CA333" s="182"/>
      <c r="CB333" s="182"/>
      <c r="CC333" s="182"/>
      <c r="CD333" s="182"/>
      <c r="CE333" s="182"/>
      <c r="CF333" s="182"/>
      <c r="CG333" s="182"/>
      <c r="CH333" s="182"/>
      <c r="CI333" s="182"/>
      <c r="CJ333" s="182"/>
      <c r="CK333" s="182"/>
      <c r="CL333" s="182"/>
      <c r="CM333" s="182"/>
      <c r="CN333" s="182"/>
      <c r="CO333" s="182"/>
      <c r="CP333" s="182"/>
      <c r="CQ333" s="182"/>
      <c r="CR333" s="182"/>
      <c r="CS333" s="182"/>
      <c r="CT333" s="182"/>
      <c r="CU333" s="182"/>
      <c r="CV333" s="182"/>
      <c r="CW333" s="182"/>
      <c r="CX333" s="182"/>
      <c r="CY333" s="182"/>
      <c r="CZ333" s="182"/>
      <c r="DA333" s="182"/>
      <c r="DB333" s="182"/>
      <c r="DC333" s="182"/>
      <c r="DD333" s="182"/>
      <c r="DE333" s="182"/>
      <c r="DF333" s="182"/>
      <c r="DG333" s="182"/>
      <c r="DH333" s="182"/>
      <c r="DI333" s="182"/>
      <c r="DJ333" s="182"/>
      <c r="DK333" s="182"/>
      <c r="DL333" s="182"/>
      <c r="DM333" s="182"/>
      <c r="DN333" s="182"/>
      <c r="DO333" s="182"/>
      <c r="DP333" s="182"/>
      <c r="DQ333" s="182"/>
      <c r="DR333" s="182"/>
      <c r="DS333" s="182"/>
      <c r="DT333" s="182"/>
      <c r="DU333" s="182"/>
      <c r="DV333" s="182"/>
      <c r="DW333" s="182"/>
      <c r="DX333" s="182"/>
      <c r="DY333" s="182"/>
      <c r="DZ333" s="182"/>
      <c r="EA333" s="182"/>
      <c r="EB333" s="182"/>
      <c r="EC333" s="182"/>
      <c r="ED333" s="182"/>
      <c r="EE333" s="182"/>
      <c r="EF333" s="182"/>
      <c r="EG333" s="182"/>
    </row>
    <row r="334" spans="1:137" s="183" customFormat="1" ht="50.1" customHeight="1">
      <c r="A334" s="148" t="s">
        <v>675</v>
      </c>
      <c r="B334" s="1585" t="s">
        <v>4855</v>
      </c>
      <c r="C334" s="1585"/>
      <c r="D334" s="1585"/>
      <c r="E334" s="179">
        <f>E322/8/31</f>
        <v>0.74901209677419356</v>
      </c>
      <c r="F334" s="179">
        <f>F322/8/28</f>
        <v>0.80296875000000001</v>
      </c>
      <c r="G334" s="179">
        <f>G322/8/31</f>
        <v>0.83225806451612905</v>
      </c>
      <c r="H334" s="179">
        <f>H322/8/30</f>
        <v>0.53074166666666667</v>
      </c>
      <c r="I334" s="179">
        <f>I322/8/31</f>
        <v>0.45891129032258066</v>
      </c>
      <c r="J334" s="179">
        <f>J322/8/30</f>
        <v>0.51262916666666669</v>
      </c>
      <c r="K334" s="179">
        <f>K322/8/31</f>
        <v>0.49070564516129028</v>
      </c>
      <c r="L334" s="179">
        <f>L322/8/31</f>
        <v>0.4901572580645161</v>
      </c>
      <c r="M334" s="179">
        <f>M322/8/30</f>
        <v>0.47619166666666668</v>
      </c>
      <c r="N334" s="178">
        <f>N322/8/31</f>
        <v>0.6249233870967742</v>
      </c>
      <c r="O334" s="178">
        <f>O322/8/30</f>
        <v>0.71400833333333336</v>
      </c>
      <c r="P334" s="178">
        <f>P322/8/31</f>
        <v>0.78697983870967736</v>
      </c>
      <c r="Q334" s="177">
        <f t="shared" si="24"/>
        <v>0.62245726366487453</v>
      </c>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2"/>
      <c r="AS334" s="182"/>
      <c r="AT334" s="182"/>
      <c r="AU334" s="182"/>
      <c r="AV334" s="182"/>
      <c r="AW334" s="182"/>
      <c r="AX334" s="182"/>
      <c r="AY334" s="182"/>
      <c r="AZ334" s="182"/>
      <c r="BA334" s="182"/>
      <c r="BB334" s="182"/>
      <c r="BC334" s="182"/>
      <c r="BD334" s="182"/>
      <c r="BE334" s="182"/>
      <c r="BF334" s="182"/>
      <c r="BG334" s="182"/>
      <c r="BH334" s="182"/>
      <c r="BI334" s="182"/>
      <c r="BJ334" s="182"/>
      <c r="BK334" s="182"/>
      <c r="BL334" s="182"/>
      <c r="BM334" s="182"/>
      <c r="BN334" s="182"/>
      <c r="BO334" s="182"/>
      <c r="BP334" s="182"/>
      <c r="BQ334" s="182"/>
      <c r="BR334" s="182"/>
      <c r="BS334" s="182"/>
      <c r="BT334" s="182"/>
      <c r="BU334" s="182"/>
      <c r="BV334" s="182"/>
      <c r="BW334" s="182"/>
      <c r="BX334" s="182"/>
      <c r="BY334" s="182"/>
      <c r="BZ334" s="182"/>
      <c r="CA334" s="182"/>
      <c r="CB334" s="182"/>
      <c r="CC334" s="182"/>
      <c r="CD334" s="182"/>
      <c r="CE334" s="182"/>
      <c r="CF334" s="182"/>
      <c r="CG334" s="182"/>
      <c r="CH334" s="182"/>
      <c r="CI334" s="182"/>
      <c r="CJ334" s="182"/>
      <c r="CK334" s="182"/>
      <c r="CL334" s="182"/>
      <c r="CM334" s="182"/>
      <c r="CN334" s="182"/>
      <c r="CO334" s="182"/>
      <c r="CP334" s="182"/>
      <c r="CQ334" s="182"/>
      <c r="CR334" s="182"/>
      <c r="CS334" s="182"/>
      <c r="CT334" s="182"/>
      <c r="CU334" s="182"/>
      <c r="CV334" s="182"/>
      <c r="CW334" s="182"/>
      <c r="CX334" s="182"/>
      <c r="CY334" s="182"/>
      <c r="CZ334" s="182"/>
      <c r="DA334" s="182"/>
      <c r="DB334" s="182"/>
      <c r="DC334" s="182"/>
      <c r="DD334" s="182"/>
      <c r="DE334" s="182"/>
      <c r="DF334" s="182"/>
      <c r="DG334" s="182"/>
      <c r="DH334" s="182"/>
      <c r="DI334" s="182"/>
      <c r="DJ334" s="182"/>
      <c r="DK334" s="182"/>
      <c r="DL334" s="182"/>
      <c r="DM334" s="182"/>
      <c r="DN334" s="182"/>
      <c r="DO334" s="182"/>
      <c r="DP334" s="182"/>
      <c r="DQ334" s="182"/>
      <c r="DR334" s="182"/>
      <c r="DS334" s="182"/>
      <c r="DT334" s="182"/>
      <c r="DU334" s="182"/>
      <c r="DV334" s="182"/>
      <c r="DW334" s="182"/>
      <c r="DX334" s="182"/>
      <c r="DY334" s="182"/>
      <c r="DZ334" s="182"/>
      <c r="EA334" s="182"/>
      <c r="EB334" s="182"/>
      <c r="EC334" s="182"/>
      <c r="ED334" s="182"/>
      <c r="EE334" s="182"/>
      <c r="EF334" s="182"/>
      <c r="EG334" s="182"/>
    </row>
    <row r="335" spans="1:137" s="183" customFormat="1" ht="50.1" customHeight="1">
      <c r="A335" s="148" t="s">
        <v>676</v>
      </c>
      <c r="B335" s="1585" t="s">
        <v>4855</v>
      </c>
      <c r="C335" s="1585"/>
      <c r="D335" s="1585"/>
      <c r="E335" s="179">
        <f>E323/8/31</f>
        <v>1.0596774193548388</v>
      </c>
      <c r="F335" s="179">
        <f>F323/8/28</f>
        <v>1.139</v>
      </c>
      <c r="G335" s="179">
        <f>G323/8/31</f>
        <v>0.97348387096774192</v>
      </c>
      <c r="H335" s="179">
        <f>H323/8/30</f>
        <v>1</v>
      </c>
      <c r="I335" s="179">
        <f>I323/8/31</f>
        <v>0.99774193548387091</v>
      </c>
      <c r="J335" s="179">
        <f>J323/8/30</f>
        <v>1.026</v>
      </c>
      <c r="K335" s="179">
        <f>K323/8/31</f>
        <v>1.0306451612903225</v>
      </c>
      <c r="L335" s="179">
        <f>L323/8/31</f>
        <v>0.97451612903225804</v>
      </c>
      <c r="M335" s="179">
        <f>M323/8/30</f>
        <v>1.0416666666666667</v>
      </c>
      <c r="N335" s="178">
        <f>N323/8/31</f>
        <v>1.0080645161290323</v>
      </c>
      <c r="O335" s="178">
        <f>O323/8/30</f>
        <v>1.0416666666666667</v>
      </c>
      <c r="P335" s="178">
        <f>P323/8/31</f>
        <v>1.0483870967741935</v>
      </c>
      <c r="Q335" s="177">
        <f t="shared" si="24"/>
        <v>1.0284041218637991</v>
      </c>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c r="AR335" s="182"/>
      <c r="AS335" s="182"/>
      <c r="AT335" s="182"/>
      <c r="AU335" s="182"/>
      <c r="AV335" s="182"/>
      <c r="AW335" s="182"/>
      <c r="AX335" s="182"/>
      <c r="AY335" s="182"/>
      <c r="AZ335" s="182"/>
      <c r="BA335" s="182"/>
      <c r="BB335" s="182"/>
      <c r="BC335" s="182"/>
      <c r="BD335" s="182"/>
      <c r="BE335" s="182"/>
      <c r="BF335" s="182"/>
      <c r="BG335" s="182"/>
      <c r="BH335" s="182"/>
      <c r="BI335" s="182"/>
      <c r="BJ335" s="182"/>
      <c r="BK335" s="182"/>
      <c r="BL335" s="182"/>
      <c r="BM335" s="182"/>
      <c r="BN335" s="182"/>
      <c r="BO335" s="182"/>
      <c r="BP335" s="182"/>
      <c r="BQ335" s="182"/>
      <c r="BR335" s="182"/>
      <c r="BS335" s="182"/>
      <c r="BT335" s="182"/>
      <c r="BU335" s="182"/>
      <c r="BV335" s="182"/>
      <c r="BW335" s="182"/>
      <c r="BX335" s="182"/>
      <c r="BY335" s="182"/>
      <c r="BZ335" s="182"/>
      <c r="CA335" s="182"/>
      <c r="CB335" s="182"/>
      <c r="CC335" s="182"/>
      <c r="CD335" s="182"/>
      <c r="CE335" s="182"/>
      <c r="CF335" s="182"/>
      <c r="CG335" s="182"/>
      <c r="CH335" s="182"/>
      <c r="CI335" s="182"/>
      <c r="CJ335" s="182"/>
      <c r="CK335" s="182"/>
      <c r="CL335" s="182"/>
      <c r="CM335" s="182"/>
      <c r="CN335" s="182"/>
      <c r="CO335" s="182"/>
      <c r="CP335" s="182"/>
      <c r="CQ335" s="182"/>
      <c r="CR335" s="182"/>
      <c r="CS335" s="182"/>
      <c r="CT335" s="182"/>
      <c r="CU335" s="182"/>
      <c r="CV335" s="182"/>
      <c r="CW335" s="182"/>
      <c r="CX335" s="182"/>
      <c r="CY335" s="182"/>
      <c r="CZ335" s="182"/>
      <c r="DA335" s="182"/>
      <c r="DB335" s="182"/>
      <c r="DC335" s="182"/>
      <c r="DD335" s="182"/>
      <c r="DE335" s="182"/>
      <c r="DF335" s="182"/>
      <c r="DG335" s="182"/>
      <c r="DH335" s="182"/>
      <c r="DI335" s="182"/>
      <c r="DJ335" s="182"/>
      <c r="DK335" s="182"/>
      <c r="DL335" s="182"/>
      <c r="DM335" s="182"/>
      <c r="DN335" s="182"/>
      <c r="DO335" s="182"/>
      <c r="DP335" s="182"/>
      <c r="DQ335" s="182"/>
      <c r="DR335" s="182"/>
      <c r="DS335" s="182"/>
      <c r="DT335" s="182"/>
      <c r="DU335" s="182"/>
      <c r="DV335" s="182"/>
      <c r="DW335" s="182"/>
      <c r="DX335" s="182"/>
      <c r="DY335" s="182"/>
      <c r="DZ335" s="182"/>
      <c r="EA335" s="182"/>
      <c r="EB335" s="182"/>
      <c r="EC335" s="182"/>
      <c r="ED335" s="182"/>
      <c r="EE335" s="182"/>
      <c r="EF335" s="182"/>
      <c r="EG335" s="182"/>
    </row>
    <row r="336" spans="1:137" s="183" customFormat="1" ht="50.1" customHeight="1">
      <c r="A336" s="148" t="s">
        <v>4849</v>
      </c>
      <c r="B336" s="1585" t="s">
        <v>4855</v>
      </c>
      <c r="C336" s="1585"/>
      <c r="D336" s="1585"/>
      <c r="E336" s="179">
        <f>19.725-E332</f>
        <v>18.910971774193548</v>
      </c>
      <c r="F336" s="179">
        <f>21.301-F332</f>
        <v>17.937776785714284</v>
      </c>
      <c r="G336" s="179">
        <f>19.237-G332</f>
        <v>14.713624999999999</v>
      </c>
      <c r="H336" s="179">
        <f>17.202-H332</f>
        <v>9.2876541666666697</v>
      </c>
      <c r="I336" s="179">
        <f>19.758-I332</f>
        <v>10.861596774193547</v>
      </c>
      <c r="J336" s="179">
        <f>31.043-J332</f>
        <v>21.383283333333331</v>
      </c>
      <c r="K336" s="179">
        <f>36.286-K332</f>
        <v>26.711181451612905</v>
      </c>
      <c r="L336" s="179">
        <f>31.456-L332</f>
        <v>22.499971774193547</v>
      </c>
      <c r="M336" s="179">
        <v>7.4569999999999999</v>
      </c>
      <c r="N336" s="178">
        <v>13.972</v>
      </c>
      <c r="O336" s="178">
        <v>14.398999999999999</v>
      </c>
      <c r="P336" s="178">
        <v>16.651</v>
      </c>
      <c r="Q336" s="177">
        <f t="shared" si="24"/>
        <v>16.232088421658986</v>
      </c>
      <c r="R336" s="182"/>
      <c r="S336" s="182"/>
      <c r="T336" s="182"/>
      <c r="U336" s="182"/>
      <c r="V336" s="182"/>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2"/>
      <c r="AR336" s="182"/>
      <c r="AS336" s="182"/>
      <c r="AT336" s="182"/>
      <c r="AU336" s="182"/>
      <c r="AV336" s="182"/>
      <c r="AW336" s="182"/>
      <c r="AX336" s="182"/>
      <c r="AY336" s="182"/>
      <c r="AZ336" s="182"/>
      <c r="BA336" s="182"/>
      <c r="BB336" s="182"/>
      <c r="BC336" s="182"/>
      <c r="BD336" s="182"/>
      <c r="BE336" s="182"/>
      <c r="BF336" s="182"/>
      <c r="BG336" s="182"/>
      <c r="BH336" s="182"/>
      <c r="BI336" s="182"/>
      <c r="BJ336" s="182"/>
      <c r="BK336" s="182"/>
      <c r="BL336" s="182"/>
      <c r="BM336" s="182"/>
      <c r="BN336" s="182"/>
      <c r="BO336" s="182"/>
      <c r="BP336" s="182"/>
      <c r="BQ336" s="182"/>
      <c r="BR336" s="182"/>
      <c r="BS336" s="182"/>
      <c r="BT336" s="182"/>
      <c r="BU336" s="182"/>
      <c r="BV336" s="182"/>
      <c r="BW336" s="182"/>
      <c r="BX336" s="182"/>
      <c r="BY336" s="182"/>
      <c r="BZ336" s="182"/>
      <c r="CA336" s="182"/>
      <c r="CB336" s="182"/>
      <c r="CC336" s="182"/>
      <c r="CD336" s="182"/>
      <c r="CE336" s="182"/>
      <c r="CF336" s="182"/>
      <c r="CG336" s="182"/>
      <c r="CH336" s="182"/>
      <c r="CI336" s="182"/>
      <c r="CJ336" s="182"/>
      <c r="CK336" s="182"/>
      <c r="CL336" s="182"/>
      <c r="CM336" s="182"/>
      <c r="CN336" s="182"/>
      <c r="CO336" s="182"/>
      <c r="CP336" s="182"/>
      <c r="CQ336" s="182"/>
      <c r="CR336" s="182"/>
      <c r="CS336" s="182"/>
      <c r="CT336" s="182"/>
      <c r="CU336" s="182"/>
      <c r="CV336" s="182"/>
      <c r="CW336" s="182"/>
      <c r="CX336" s="182"/>
      <c r="CY336" s="182"/>
      <c r="CZ336" s="182"/>
      <c r="DA336" s="182"/>
      <c r="DB336" s="182"/>
      <c r="DC336" s="182"/>
      <c r="DD336" s="182"/>
      <c r="DE336" s="182"/>
      <c r="DF336" s="182"/>
      <c r="DG336" s="182"/>
      <c r="DH336" s="182"/>
      <c r="DI336" s="182"/>
      <c r="DJ336" s="182"/>
      <c r="DK336" s="182"/>
      <c r="DL336" s="182"/>
      <c r="DM336" s="182"/>
      <c r="DN336" s="182"/>
      <c r="DO336" s="182"/>
      <c r="DP336" s="182"/>
      <c r="DQ336" s="182"/>
      <c r="DR336" s="182"/>
      <c r="DS336" s="182"/>
      <c r="DT336" s="182"/>
      <c r="DU336" s="182"/>
      <c r="DV336" s="182"/>
      <c r="DW336" s="182"/>
      <c r="DX336" s="182"/>
      <c r="DY336" s="182"/>
      <c r="DZ336" s="182"/>
      <c r="EA336" s="182"/>
      <c r="EB336" s="182"/>
      <c r="EC336" s="182"/>
      <c r="ED336" s="182"/>
      <c r="EE336" s="182"/>
      <c r="EF336" s="182"/>
      <c r="EG336" s="182"/>
    </row>
    <row r="337" spans="1:137" s="183" customFormat="1" ht="50.1" customHeight="1">
      <c r="A337" s="156" t="s">
        <v>677</v>
      </c>
      <c r="B337" s="1585" t="s">
        <v>4855</v>
      </c>
      <c r="C337" s="1585"/>
      <c r="D337" s="1585"/>
      <c r="E337" s="179">
        <v>20.7</v>
      </c>
      <c r="F337" s="179">
        <v>19.100000000000001</v>
      </c>
      <c r="G337" s="179">
        <v>25.4</v>
      </c>
      <c r="H337" s="179">
        <v>10.4</v>
      </c>
      <c r="I337" s="179">
        <v>14</v>
      </c>
      <c r="J337" s="179">
        <v>18.2</v>
      </c>
      <c r="K337" s="179">
        <v>22.4</v>
      </c>
      <c r="L337" s="179">
        <v>25.2</v>
      </c>
      <c r="M337" s="179">
        <v>16.7</v>
      </c>
      <c r="N337" s="178">
        <v>12.5</v>
      </c>
      <c r="O337" s="178">
        <v>15.6</v>
      </c>
      <c r="P337" s="178">
        <v>13.5</v>
      </c>
      <c r="Q337" s="177">
        <f t="shared" si="24"/>
        <v>17.80833333333333</v>
      </c>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2"/>
      <c r="AU337" s="182"/>
      <c r="AV337" s="182"/>
      <c r="AW337" s="182"/>
      <c r="AX337" s="182"/>
      <c r="AY337" s="182"/>
      <c r="AZ337" s="182"/>
      <c r="BA337" s="182"/>
      <c r="BB337" s="182"/>
      <c r="BC337" s="182"/>
      <c r="BD337" s="182"/>
      <c r="BE337" s="182"/>
      <c r="BF337" s="182"/>
      <c r="BG337" s="182"/>
      <c r="BH337" s="182"/>
      <c r="BI337" s="182"/>
      <c r="BJ337" s="182"/>
      <c r="BK337" s="182"/>
      <c r="BL337" s="182"/>
      <c r="BM337" s="182"/>
      <c r="BN337" s="182"/>
      <c r="BO337" s="182"/>
      <c r="BP337" s="182"/>
      <c r="BQ337" s="182"/>
      <c r="BR337" s="182"/>
      <c r="BS337" s="182"/>
      <c r="BT337" s="182"/>
      <c r="BU337" s="182"/>
      <c r="BV337" s="182"/>
      <c r="BW337" s="182"/>
      <c r="BX337" s="182"/>
      <c r="BY337" s="182"/>
      <c r="BZ337" s="182"/>
      <c r="CA337" s="182"/>
      <c r="CB337" s="182"/>
      <c r="CC337" s="182"/>
      <c r="CD337" s="182"/>
      <c r="CE337" s="182"/>
      <c r="CF337" s="182"/>
      <c r="CG337" s="182"/>
      <c r="CH337" s="182"/>
      <c r="CI337" s="182"/>
      <c r="CJ337" s="182"/>
      <c r="CK337" s="182"/>
      <c r="CL337" s="182"/>
      <c r="CM337" s="182"/>
      <c r="CN337" s="182"/>
      <c r="CO337" s="182"/>
      <c r="CP337" s="182"/>
      <c r="CQ337" s="182"/>
      <c r="CR337" s="182"/>
      <c r="CS337" s="182"/>
      <c r="CT337" s="182"/>
      <c r="CU337" s="182"/>
      <c r="CV337" s="182"/>
      <c r="CW337" s="182"/>
      <c r="CX337" s="182"/>
      <c r="CY337" s="182"/>
      <c r="CZ337" s="182"/>
      <c r="DA337" s="182"/>
      <c r="DB337" s="182"/>
      <c r="DC337" s="182"/>
      <c r="DD337" s="182"/>
      <c r="DE337" s="182"/>
      <c r="DF337" s="182"/>
      <c r="DG337" s="182"/>
      <c r="DH337" s="182"/>
      <c r="DI337" s="182"/>
      <c r="DJ337" s="182"/>
      <c r="DK337" s="182"/>
      <c r="DL337" s="182"/>
      <c r="DM337" s="182"/>
      <c r="DN337" s="182"/>
      <c r="DO337" s="182"/>
      <c r="DP337" s="182"/>
      <c r="DQ337" s="182"/>
      <c r="DR337" s="182"/>
      <c r="DS337" s="182"/>
      <c r="DT337" s="182"/>
      <c r="DU337" s="182"/>
      <c r="DV337" s="182"/>
      <c r="DW337" s="182"/>
      <c r="DX337" s="182"/>
      <c r="DY337" s="182"/>
      <c r="DZ337" s="182"/>
      <c r="EA337" s="182"/>
      <c r="EB337" s="182"/>
      <c r="EC337" s="182"/>
      <c r="ED337" s="182"/>
      <c r="EE337" s="182"/>
      <c r="EF337" s="182"/>
      <c r="EG337" s="182"/>
    </row>
    <row r="338" spans="1:137" s="183" customFormat="1" ht="50.1" customHeight="1">
      <c r="A338" s="165" t="s">
        <v>4857</v>
      </c>
      <c r="B338" s="1585" t="s">
        <v>4855</v>
      </c>
      <c r="C338" s="1585"/>
      <c r="D338" s="1585"/>
      <c r="E338" s="179">
        <v>9.0860000000000003</v>
      </c>
      <c r="F338" s="179">
        <v>9.5749999999999993</v>
      </c>
      <c r="G338" s="179">
        <v>8.3870000000000005</v>
      </c>
      <c r="H338" s="179">
        <v>7.94</v>
      </c>
      <c r="I338" s="179">
        <v>7.74</v>
      </c>
      <c r="J338" s="179">
        <v>7.8000000000000007</v>
      </c>
      <c r="K338" s="179">
        <v>8.6489999999999991</v>
      </c>
      <c r="L338" s="179">
        <v>7.8620000000000001</v>
      </c>
      <c r="M338" s="179">
        <v>7.5830000000000002</v>
      </c>
      <c r="N338" s="178">
        <v>8.7360000000000007</v>
      </c>
      <c r="O338" s="178">
        <v>9.0269999999999992</v>
      </c>
      <c r="P338" s="178">
        <v>9.4350000000000005</v>
      </c>
      <c r="Q338" s="177">
        <f t="shared" si="24"/>
        <v>8.4850000000000012</v>
      </c>
      <c r="R338" s="182"/>
      <c r="S338" s="182"/>
      <c r="T338" s="182"/>
      <c r="U338" s="182"/>
      <c r="V338" s="182"/>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2"/>
      <c r="AR338" s="182"/>
      <c r="AS338" s="182"/>
      <c r="AT338" s="182"/>
      <c r="AU338" s="182"/>
      <c r="AV338" s="182"/>
      <c r="AW338" s="182"/>
      <c r="AX338" s="182"/>
      <c r="AY338" s="182"/>
      <c r="AZ338" s="182"/>
      <c r="BA338" s="182"/>
      <c r="BB338" s="182"/>
      <c r="BC338" s="182"/>
      <c r="BD338" s="182"/>
      <c r="BE338" s="182"/>
      <c r="BF338" s="182"/>
      <c r="BG338" s="182"/>
      <c r="BH338" s="182"/>
      <c r="BI338" s="182"/>
      <c r="BJ338" s="182"/>
      <c r="BK338" s="182"/>
      <c r="BL338" s="182"/>
      <c r="BM338" s="182"/>
      <c r="BN338" s="182"/>
      <c r="BO338" s="182"/>
      <c r="BP338" s="182"/>
      <c r="BQ338" s="182"/>
      <c r="BR338" s="182"/>
      <c r="BS338" s="182"/>
      <c r="BT338" s="182"/>
      <c r="BU338" s="182"/>
      <c r="BV338" s="182"/>
      <c r="BW338" s="182"/>
      <c r="BX338" s="182"/>
      <c r="BY338" s="182"/>
      <c r="BZ338" s="182"/>
      <c r="CA338" s="182"/>
      <c r="CB338" s="182"/>
      <c r="CC338" s="182"/>
      <c r="CD338" s="182"/>
      <c r="CE338" s="182"/>
      <c r="CF338" s="182"/>
      <c r="CG338" s="182"/>
      <c r="CH338" s="182"/>
      <c r="CI338" s="182"/>
      <c r="CJ338" s="182"/>
      <c r="CK338" s="182"/>
      <c r="CL338" s="182"/>
      <c r="CM338" s="182"/>
      <c r="CN338" s="182"/>
      <c r="CO338" s="182"/>
      <c r="CP338" s="182"/>
      <c r="CQ338" s="182"/>
      <c r="CR338" s="182"/>
      <c r="CS338" s="182"/>
      <c r="CT338" s="182"/>
      <c r="CU338" s="182"/>
      <c r="CV338" s="182"/>
      <c r="CW338" s="182"/>
      <c r="CX338" s="182"/>
      <c r="CY338" s="182"/>
      <c r="CZ338" s="182"/>
      <c r="DA338" s="182"/>
      <c r="DB338" s="182"/>
      <c r="DC338" s="182"/>
      <c r="DD338" s="182"/>
      <c r="DE338" s="182"/>
      <c r="DF338" s="182"/>
      <c r="DG338" s="182"/>
      <c r="DH338" s="182"/>
      <c r="DI338" s="182"/>
      <c r="DJ338" s="182"/>
      <c r="DK338" s="182"/>
      <c r="DL338" s="182"/>
      <c r="DM338" s="182"/>
      <c r="DN338" s="182"/>
      <c r="DO338" s="182"/>
      <c r="DP338" s="182"/>
      <c r="DQ338" s="182"/>
      <c r="DR338" s="182"/>
      <c r="DS338" s="182"/>
      <c r="DT338" s="182"/>
      <c r="DU338" s="182"/>
      <c r="DV338" s="182"/>
      <c r="DW338" s="182"/>
      <c r="DX338" s="182"/>
      <c r="DY338" s="182"/>
      <c r="DZ338" s="182"/>
      <c r="EA338" s="182"/>
      <c r="EB338" s="182"/>
      <c r="EC338" s="182"/>
      <c r="ED338" s="182"/>
      <c r="EE338" s="182"/>
      <c r="EF338" s="182"/>
      <c r="EG338" s="182"/>
    </row>
    <row r="339" spans="1:137" s="183" customFormat="1" ht="50.1" customHeight="1">
      <c r="A339" s="165" t="s">
        <v>1995</v>
      </c>
      <c r="B339" s="1585" t="s">
        <v>4855</v>
      </c>
      <c r="C339" s="1585"/>
      <c r="D339" s="1585"/>
      <c r="E339" s="178">
        <v>1.0129999999999999</v>
      </c>
      <c r="F339" s="178">
        <v>1.0629999999999999</v>
      </c>
      <c r="G339" s="178">
        <v>1.03</v>
      </c>
      <c r="H339" s="178">
        <v>0.99299999999999999</v>
      </c>
      <c r="I339" s="178">
        <v>0.96099999999999997</v>
      </c>
      <c r="J339" s="178">
        <v>1.083</v>
      </c>
      <c r="K339" s="178">
        <v>1.1000000000000001</v>
      </c>
      <c r="L339" s="178">
        <v>1.0649999999999999</v>
      </c>
      <c r="M339" s="178">
        <v>1.0469999999999999</v>
      </c>
      <c r="N339" s="178">
        <v>1.048</v>
      </c>
      <c r="O339" s="178">
        <v>0.57699999999999996</v>
      </c>
      <c r="P339" s="178">
        <v>1.135</v>
      </c>
      <c r="Q339" s="177">
        <f t="shared" si="24"/>
        <v>1.0095833333333333</v>
      </c>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2"/>
      <c r="AU339" s="182"/>
      <c r="AV339" s="182"/>
      <c r="AW339" s="182"/>
      <c r="AX339" s="182"/>
      <c r="AY339" s="182"/>
      <c r="AZ339" s="182"/>
      <c r="BA339" s="182"/>
      <c r="BB339" s="182"/>
      <c r="BC339" s="182"/>
      <c r="BD339" s="182"/>
      <c r="BE339" s="182"/>
      <c r="BF339" s="182"/>
      <c r="BG339" s="182"/>
      <c r="BH339" s="182"/>
      <c r="BI339" s="182"/>
      <c r="BJ339" s="182"/>
      <c r="BK339" s="182"/>
      <c r="BL339" s="182"/>
      <c r="BM339" s="182"/>
      <c r="BN339" s="182"/>
      <c r="BO339" s="182"/>
      <c r="BP339" s="182"/>
      <c r="BQ339" s="182"/>
      <c r="BR339" s="182"/>
      <c r="BS339" s="182"/>
      <c r="BT339" s="182"/>
      <c r="BU339" s="182"/>
      <c r="BV339" s="182"/>
      <c r="BW339" s="182"/>
      <c r="BX339" s="182"/>
      <c r="BY339" s="182"/>
      <c r="BZ339" s="182"/>
      <c r="CA339" s="182"/>
      <c r="CB339" s="182"/>
      <c r="CC339" s="182"/>
      <c r="CD339" s="182"/>
      <c r="CE339" s="182"/>
      <c r="CF339" s="182"/>
      <c r="CG339" s="182"/>
      <c r="CH339" s="182"/>
      <c r="CI339" s="182"/>
      <c r="CJ339" s="182"/>
      <c r="CK339" s="182"/>
      <c r="CL339" s="182"/>
      <c r="CM339" s="182"/>
      <c r="CN339" s="182"/>
      <c r="CO339" s="182"/>
      <c r="CP339" s="182"/>
      <c r="CQ339" s="182"/>
      <c r="CR339" s="182"/>
      <c r="CS339" s="182"/>
      <c r="CT339" s="182"/>
      <c r="CU339" s="182"/>
      <c r="CV339" s="182"/>
      <c r="CW339" s="182"/>
      <c r="CX339" s="182"/>
      <c r="CY339" s="182"/>
      <c r="CZ339" s="182"/>
      <c r="DA339" s="182"/>
      <c r="DB339" s="182"/>
      <c r="DC339" s="182"/>
      <c r="DD339" s="182"/>
      <c r="DE339" s="182"/>
      <c r="DF339" s="182"/>
      <c r="DG339" s="182"/>
      <c r="DH339" s="182"/>
      <c r="DI339" s="182"/>
      <c r="DJ339" s="182"/>
      <c r="DK339" s="182"/>
      <c r="DL339" s="182"/>
      <c r="DM339" s="182"/>
      <c r="DN339" s="182"/>
      <c r="DO339" s="182"/>
      <c r="DP339" s="182"/>
      <c r="DQ339" s="182"/>
      <c r="DR339" s="182"/>
      <c r="DS339" s="182"/>
      <c r="DT339" s="182"/>
      <c r="DU339" s="182"/>
      <c r="DV339" s="182"/>
      <c r="DW339" s="182"/>
      <c r="DX339" s="182"/>
      <c r="DY339" s="182"/>
      <c r="DZ339" s="182"/>
      <c r="EA339" s="182"/>
      <c r="EB339" s="182"/>
      <c r="EC339" s="182"/>
      <c r="ED339" s="182"/>
      <c r="EE339" s="182"/>
      <c r="EF339" s="182"/>
      <c r="EG339" s="182"/>
    </row>
    <row r="340" spans="1:137" s="183" customFormat="1" ht="50.1" customHeight="1">
      <c r="A340" s="148" t="s">
        <v>4858</v>
      </c>
      <c r="B340" s="1585" t="s">
        <v>4855</v>
      </c>
      <c r="C340" s="1585"/>
      <c r="D340" s="1585"/>
      <c r="E340" s="178">
        <v>14.153</v>
      </c>
      <c r="F340" s="178">
        <v>13.58</v>
      </c>
      <c r="G340" s="178">
        <v>12.353</v>
      </c>
      <c r="H340" s="178">
        <v>11.375</v>
      </c>
      <c r="I340" s="178">
        <v>9.61</v>
      </c>
      <c r="J340" s="178">
        <v>8.7560000000000002</v>
      </c>
      <c r="K340" s="178">
        <v>11.356999999999999</v>
      </c>
      <c r="L340" s="178">
        <v>11.147</v>
      </c>
      <c r="M340" s="178">
        <v>9.56</v>
      </c>
      <c r="N340" s="178">
        <v>11.881</v>
      </c>
      <c r="O340" s="178">
        <v>12.494</v>
      </c>
      <c r="P340" s="178">
        <v>13.192</v>
      </c>
      <c r="Q340" s="177">
        <f t="shared" si="24"/>
        <v>11.621499999999999</v>
      </c>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c r="AR340" s="182"/>
      <c r="AS340" s="182"/>
      <c r="AT340" s="182"/>
      <c r="AU340" s="182"/>
      <c r="AV340" s="182"/>
      <c r="AW340" s="182"/>
      <c r="AX340" s="182"/>
      <c r="AY340" s="182"/>
      <c r="AZ340" s="182"/>
      <c r="BA340" s="182"/>
      <c r="BB340" s="182"/>
      <c r="BC340" s="182"/>
      <c r="BD340" s="182"/>
      <c r="BE340" s="182"/>
      <c r="BF340" s="182"/>
      <c r="BG340" s="182"/>
      <c r="BH340" s="182"/>
      <c r="BI340" s="182"/>
      <c r="BJ340" s="182"/>
      <c r="BK340" s="182"/>
      <c r="BL340" s="182"/>
      <c r="BM340" s="182"/>
      <c r="BN340" s="182"/>
      <c r="BO340" s="182"/>
      <c r="BP340" s="182"/>
      <c r="BQ340" s="182"/>
      <c r="BR340" s="182"/>
      <c r="BS340" s="182"/>
      <c r="BT340" s="182"/>
      <c r="BU340" s="182"/>
      <c r="BV340" s="182"/>
      <c r="BW340" s="182"/>
      <c r="BX340" s="182"/>
      <c r="BY340" s="182"/>
      <c r="BZ340" s="182"/>
      <c r="CA340" s="182"/>
      <c r="CB340" s="182"/>
      <c r="CC340" s="182"/>
      <c r="CD340" s="182"/>
      <c r="CE340" s="182"/>
      <c r="CF340" s="182"/>
      <c r="CG340" s="182"/>
      <c r="CH340" s="182"/>
      <c r="CI340" s="182"/>
      <c r="CJ340" s="182"/>
      <c r="CK340" s="182"/>
      <c r="CL340" s="182"/>
      <c r="CM340" s="182"/>
      <c r="CN340" s="182"/>
      <c r="CO340" s="182"/>
      <c r="CP340" s="182"/>
      <c r="CQ340" s="182"/>
      <c r="CR340" s="182"/>
      <c r="CS340" s="182"/>
      <c r="CT340" s="182"/>
      <c r="CU340" s="182"/>
      <c r="CV340" s="182"/>
      <c r="CW340" s="182"/>
      <c r="CX340" s="182"/>
      <c r="CY340" s="182"/>
      <c r="CZ340" s="182"/>
      <c r="DA340" s="182"/>
      <c r="DB340" s="182"/>
      <c r="DC340" s="182"/>
      <c r="DD340" s="182"/>
      <c r="DE340" s="182"/>
      <c r="DF340" s="182"/>
      <c r="DG340" s="182"/>
      <c r="DH340" s="182"/>
      <c r="DI340" s="182"/>
      <c r="DJ340" s="182"/>
      <c r="DK340" s="182"/>
      <c r="DL340" s="182"/>
      <c r="DM340" s="182"/>
      <c r="DN340" s="182"/>
      <c r="DO340" s="182"/>
      <c r="DP340" s="182"/>
      <c r="DQ340" s="182"/>
      <c r="DR340" s="182"/>
      <c r="DS340" s="182"/>
      <c r="DT340" s="182"/>
      <c r="DU340" s="182"/>
      <c r="DV340" s="182"/>
      <c r="DW340" s="182"/>
      <c r="DX340" s="182"/>
      <c r="DY340" s="182"/>
      <c r="DZ340" s="182"/>
      <c r="EA340" s="182"/>
      <c r="EB340" s="182"/>
      <c r="EC340" s="182"/>
      <c r="ED340" s="182"/>
      <c r="EE340" s="182"/>
      <c r="EF340" s="182"/>
      <c r="EG340" s="182"/>
    </row>
    <row r="341" spans="1:137" s="146" customFormat="1" ht="30" customHeight="1">
      <c r="A341" s="1598" t="s">
        <v>4859</v>
      </c>
      <c r="B341" s="1598"/>
      <c r="C341" s="1598"/>
      <c r="D341" s="1598"/>
      <c r="E341" s="1598"/>
      <c r="F341" s="1598"/>
      <c r="G341" s="1598"/>
      <c r="H341" s="1598"/>
      <c r="I341" s="1598"/>
      <c r="J341" s="1598"/>
      <c r="K341" s="1598"/>
      <c r="L341" s="1598"/>
      <c r="M341" s="1598"/>
      <c r="N341" s="1598"/>
      <c r="O341" s="1598"/>
      <c r="P341" s="1598"/>
      <c r="Q341" s="184"/>
      <c r="R341" s="225"/>
      <c r="S341" s="226"/>
    </row>
    <row r="342" spans="1:137" s="146" customFormat="1" ht="30.75" customHeight="1">
      <c r="A342" s="1592" t="s">
        <v>1461</v>
      </c>
      <c r="B342" s="1592"/>
      <c r="C342" s="1592"/>
      <c r="D342" s="1592"/>
      <c r="E342" s="186"/>
      <c r="F342" s="186"/>
      <c r="G342" s="186"/>
      <c r="H342" s="186"/>
      <c r="I342" s="186"/>
      <c r="J342" s="186"/>
      <c r="K342" s="186"/>
      <c r="L342" s="186"/>
      <c r="M342" s="186"/>
      <c r="N342" s="186"/>
      <c r="O342" s="186"/>
      <c r="P342" s="186"/>
      <c r="Q342" s="187"/>
      <c r="R342" s="225"/>
      <c r="S342" s="226"/>
    </row>
    <row r="343" spans="1:137" s="146" customFormat="1" ht="60" customHeight="1">
      <c r="A343" s="1597" t="s">
        <v>1462</v>
      </c>
      <c r="B343" s="1597"/>
      <c r="C343" s="1599" t="s">
        <v>1463</v>
      </c>
      <c r="D343" s="1599" t="s">
        <v>1464</v>
      </c>
      <c r="E343" s="1597" t="s">
        <v>4860</v>
      </c>
      <c r="F343" s="1597"/>
      <c r="G343" s="1597"/>
      <c r="H343" s="1597"/>
      <c r="I343" s="1597"/>
      <c r="J343" s="1597"/>
      <c r="K343" s="1597"/>
      <c r="L343" s="1597"/>
      <c r="M343" s="1597"/>
      <c r="N343" s="1597"/>
      <c r="O343" s="1597"/>
      <c r="P343" s="1597"/>
      <c r="Q343" s="1599" t="s">
        <v>1466</v>
      </c>
    </row>
    <row r="344" spans="1:137" s="146" customFormat="1" ht="60" customHeight="1">
      <c r="A344" s="1590"/>
      <c r="B344" s="1590"/>
      <c r="C344" s="1582"/>
      <c r="D344" s="1583"/>
      <c r="E344" s="1590" t="s">
        <v>1467</v>
      </c>
      <c r="F344" s="1590"/>
      <c r="G344" s="1590"/>
      <c r="H344" s="1590" t="s">
        <v>1468</v>
      </c>
      <c r="I344" s="1590"/>
      <c r="J344" s="1590"/>
      <c r="K344" s="1590" t="s">
        <v>1469</v>
      </c>
      <c r="L344" s="1590"/>
      <c r="M344" s="1590"/>
      <c r="N344" s="1590" t="s">
        <v>1470</v>
      </c>
      <c r="O344" s="1590"/>
      <c r="P344" s="1590"/>
      <c r="Q344" s="1582"/>
    </row>
    <row r="345" spans="1:137" s="146" customFormat="1" ht="60" customHeight="1">
      <c r="A345" s="1590"/>
      <c r="B345" s="1590"/>
      <c r="C345" s="1582"/>
      <c r="D345" s="1583"/>
      <c r="E345" s="147" t="s">
        <v>1471</v>
      </c>
      <c r="F345" s="147" t="s">
        <v>1472</v>
      </c>
      <c r="G345" s="147" t="s">
        <v>1473</v>
      </c>
      <c r="H345" s="147" t="s">
        <v>1474</v>
      </c>
      <c r="I345" s="147" t="s">
        <v>1475</v>
      </c>
      <c r="J345" s="147" t="s">
        <v>1476</v>
      </c>
      <c r="K345" s="147" t="s">
        <v>1477</v>
      </c>
      <c r="L345" s="147" t="s">
        <v>1478</v>
      </c>
      <c r="M345" s="147" t="s">
        <v>1479</v>
      </c>
      <c r="N345" s="147" t="s">
        <v>1480</v>
      </c>
      <c r="O345" s="147" t="s">
        <v>1481</v>
      </c>
      <c r="P345" s="147" t="s">
        <v>4522</v>
      </c>
      <c r="Q345" s="1582"/>
    </row>
    <row r="346" spans="1:137" s="146" customFormat="1" ht="18" customHeight="1">
      <c r="A346" s="148">
        <v>1</v>
      </c>
      <c r="B346" s="148">
        <v>2</v>
      </c>
      <c r="C346" s="148">
        <v>3</v>
      </c>
      <c r="D346" s="148">
        <v>4</v>
      </c>
      <c r="E346" s="149">
        <v>5</v>
      </c>
      <c r="F346" s="149">
        <v>6</v>
      </c>
      <c r="G346" s="149">
        <v>7</v>
      </c>
      <c r="H346" s="149">
        <v>8</v>
      </c>
      <c r="I346" s="149">
        <v>9</v>
      </c>
      <c r="J346" s="149">
        <v>10</v>
      </c>
      <c r="K346" s="149">
        <v>11</v>
      </c>
      <c r="L346" s="149">
        <v>12</v>
      </c>
      <c r="M346" s="149">
        <v>13</v>
      </c>
      <c r="N346" s="149">
        <v>14</v>
      </c>
      <c r="O346" s="149">
        <v>15</v>
      </c>
      <c r="P346" s="149">
        <v>16</v>
      </c>
      <c r="Q346" s="149">
        <v>17</v>
      </c>
    </row>
    <row r="347" spans="1:137" s="146" customFormat="1" ht="60" customHeight="1">
      <c r="A347" s="1613" t="s">
        <v>4836</v>
      </c>
      <c r="B347" s="1613"/>
      <c r="C347" s="1613"/>
      <c r="D347" s="1613"/>
      <c r="E347" s="179">
        <f>E352+E353+E354+E355</f>
        <v>989.28700000000003</v>
      </c>
      <c r="F347" s="179">
        <f t="shared" ref="F347:P347" si="25">F352+F353+F354+F355</f>
        <v>1038.798</v>
      </c>
      <c r="G347" s="179">
        <f t="shared" si="25"/>
        <v>1018.819</v>
      </c>
      <c r="H347" s="179">
        <f t="shared" si="25"/>
        <v>899.58799999999997</v>
      </c>
      <c r="I347" s="179">
        <f t="shared" si="25"/>
        <v>932.67499999999995</v>
      </c>
      <c r="J347" s="179">
        <f t="shared" si="25"/>
        <v>960.54399999999998</v>
      </c>
      <c r="K347" s="179">
        <f t="shared" si="25"/>
        <v>1010.662</v>
      </c>
      <c r="L347" s="179">
        <f t="shared" si="25"/>
        <v>1002.6869999999999</v>
      </c>
      <c r="M347" s="179">
        <f t="shared" si="25"/>
        <v>804.34100000000012</v>
      </c>
      <c r="N347" s="179">
        <f t="shared" si="25"/>
        <v>962.74099999999999</v>
      </c>
      <c r="O347" s="179">
        <f t="shared" si="25"/>
        <v>905.23299999999995</v>
      </c>
      <c r="P347" s="179">
        <f t="shared" si="25"/>
        <v>1060.7849999999999</v>
      </c>
      <c r="Q347" s="216">
        <f>SUM(E347:P347)</f>
        <v>11586.16</v>
      </c>
    </row>
    <row r="348" spans="1:137" s="146" customFormat="1" ht="27" customHeight="1">
      <c r="A348" s="1614"/>
      <c r="B348" s="1614"/>
      <c r="C348" s="1614"/>
      <c r="D348" s="1614"/>
      <c r="E348" s="1614"/>
      <c r="F348" s="1614"/>
      <c r="G348" s="1614"/>
      <c r="H348" s="1614"/>
      <c r="I348" s="1614"/>
      <c r="J348" s="1614"/>
      <c r="K348" s="1614"/>
      <c r="L348" s="1614"/>
      <c r="M348" s="1614"/>
      <c r="N348" s="1614"/>
      <c r="O348" s="1614"/>
      <c r="P348" s="1614"/>
      <c r="Q348" s="1614"/>
    </row>
    <row r="349" spans="1:137" s="146" customFormat="1" ht="50.1" customHeight="1">
      <c r="A349" s="217" t="s">
        <v>4838</v>
      </c>
      <c r="B349" s="178" t="s">
        <v>4839</v>
      </c>
      <c r="C349" s="178" t="s">
        <v>4840</v>
      </c>
      <c r="D349" s="178" t="s">
        <v>4841</v>
      </c>
      <c r="E349" s="195">
        <f>E347+E350</f>
        <v>2589.2870000000003</v>
      </c>
      <c r="F349" s="195">
        <f t="shared" ref="F349:P349" si="26">F350+F347</f>
        <v>2438.7979999999998</v>
      </c>
      <c r="G349" s="195">
        <f t="shared" si="26"/>
        <v>2408.819</v>
      </c>
      <c r="H349" s="195">
        <f t="shared" si="26"/>
        <v>2099.5879999999997</v>
      </c>
      <c r="I349" s="195">
        <f t="shared" si="26"/>
        <v>2032.675</v>
      </c>
      <c r="J349" s="195">
        <f t="shared" si="26"/>
        <v>1910.5439999999999</v>
      </c>
      <c r="K349" s="195">
        <f t="shared" si="26"/>
        <v>2110.6620000000003</v>
      </c>
      <c r="L349" s="195">
        <f t="shared" si="26"/>
        <v>2222.6869999999999</v>
      </c>
      <c r="M349" s="195">
        <f t="shared" si="26"/>
        <v>1809.3410000000001</v>
      </c>
      <c r="N349" s="195">
        <f t="shared" si="26"/>
        <v>2262.741</v>
      </c>
      <c r="O349" s="195">
        <f t="shared" si="26"/>
        <v>2285.2330000000002</v>
      </c>
      <c r="P349" s="195">
        <f t="shared" si="26"/>
        <v>2610.7849999999999</v>
      </c>
      <c r="Q349" s="177">
        <f>SUM(E349:P349)</f>
        <v>26781.16</v>
      </c>
    </row>
    <row r="350" spans="1:137" s="146" customFormat="1" ht="50.1" customHeight="1">
      <c r="A350" s="178" t="s">
        <v>4844</v>
      </c>
      <c r="B350" s="178" t="s">
        <v>4839</v>
      </c>
      <c r="C350" s="178" t="s">
        <v>4840</v>
      </c>
      <c r="D350" s="178" t="s">
        <v>4842</v>
      </c>
      <c r="E350" s="195">
        <v>1600</v>
      </c>
      <c r="F350" s="195">
        <v>1400</v>
      </c>
      <c r="G350" s="195">
        <v>1390</v>
      </c>
      <c r="H350" s="195">
        <v>1200</v>
      </c>
      <c r="I350" s="195">
        <v>1100</v>
      </c>
      <c r="J350" s="195">
        <v>950</v>
      </c>
      <c r="K350" s="195">
        <v>1100</v>
      </c>
      <c r="L350" s="195">
        <v>1220</v>
      </c>
      <c r="M350" s="195">
        <v>1005</v>
      </c>
      <c r="N350" s="195">
        <v>1300</v>
      </c>
      <c r="O350" s="195">
        <v>1380</v>
      </c>
      <c r="P350" s="195">
        <v>1550</v>
      </c>
      <c r="Q350" s="177">
        <f>SUM(E350:P350)</f>
        <v>15195</v>
      </c>
    </row>
    <row r="351" spans="1:137" s="146" customFormat="1" ht="39.950000000000003" customHeight="1">
      <c r="A351" s="1611" t="s">
        <v>4845</v>
      </c>
      <c r="B351" s="1611"/>
      <c r="C351" s="1611"/>
      <c r="D351" s="1611"/>
      <c r="E351" s="1611"/>
      <c r="F351" s="1611"/>
      <c r="G351" s="1611"/>
      <c r="H351" s="1611"/>
      <c r="I351" s="1611"/>
      <c r="J351" s="1611"/>
      <c r="K351" s="1611"/>
      <c r="L351" s="1611"/>
      <c r="M351" s="1611"/>
      <c r="N351" s="1611"/>
      <c r="O351" s="1611"/>
      <c r="P351" s="1611"/>
      <c r="Q351" s="1611"/>
    </row>
    <row r="352" spans="1:137" s="146" customFormat="1" ht="50.1" customHeight="1">
      <c r="A352" s="179" t="s">
        <v>4846</v>
      </c>
      <c r="B352" s="1620" t="s">
        <v>4839</v>
      </c>
      <c r="C352" s="1620"/>
      <c r="D352" s="1620"/>
      <c r="E352" s="179">
        <v>0</v>
      </c>
      <c r="F352" s="179">
        <v>0</v>
      </c>
      <c r="G352" s="179">
        <v>0</v>
      </c>
      <c r="H352" s="179">
        <v>0</v>
      </c>
      <c r="I352" s="179">
        <v>0</v>
      </c>
      <c r="J352" s="179">
        <v>0</v>
      </c>
      <c r="K352" s="179">
        <v>0</v>
      </c>
      <c r="L352" s="179">
        <v>0</v>
      </c>
      <c r="M352" s="179">
        <v>0</v>
      </c>
      <c r="N352" s="179">
        <v>0</v>
      </c>
      <c r="O352" s="179">
        <v>0</v>
      </c>
      <c r="P352" s="179">
        <v>0</v>
      </c>
      <c r="Q352" s="227">
        <f>SUM(E352:P352)</f>
        <v>0</v>
      </c>
    </row>
    <row r="353" spans="1:17" s="146" customFormat="1" ht="50.1" customHeight="1">
      <c r="A353" s="179" t="s">
        <v>4847</v>
      </c>
      <c r="B353" s="1620" t="s">
        <v>4839</v>
      </c>
      <c r="C353" s="1620"/>
      <c r="D353" s="1620"/>
      <c r="E353" s="179">
        <v>47.793999999999997</v>
      </c>
      <c r="F353" s="219">
        <v>40.942</v>
      </c>
      <c r="G353" s="219">
        <v>41.308</v>
      </c>
      <c r="H353" s="219">
        <v>37.024000000000001</v>
      </c>
      <c r="I353" s="219">
        <v>35.912999999999997</v>
      </c>
      <c r="J353" s="219">
        <v>34.162999999999997</v>
      </c>
      <c r="K353" s="219">
        <v>40.146999999999998</v>
      </c>
      <c r="L353" s="219">
        <v>33.67</v>
      </c>
      <c r="M353" s="219">
        <v>28.006</v>
      </c>
      <c r="N353" s="219">
        <v>30.347000000000001</v>
      </c>
      <c r="O353" s="219">
        <v>39.302</v>
      </c>
      <c r="P353" s="219">
        <v>40.680999999999997</v>
      </c>
      <c r="Q353" s="227">
        <f>SUM(E353:P353)</f>
        <v>449.29699999999997</v>
      </c>
    </row>
    <row r="354" spans="1:17" s="146" customFormat="1" ht="50.1" customHeight="1">
      <c r="A354" s="179" t="s">
        <v>675</v>
      </c>
      <c r="B354" s="1620" t="s">
        <v>4839</v>
      </c>
      <c r="C354" s="1620"/>
      <c r="D354" s="1620"/>
      <c r="E354" s="179">
        <v>451.28399999999999</v>
      </c>
      <c r="F354" s="219">
        <v>467.14299999999997</v>
      </c>
      <c r="G354" s="219">
        <v>423.185</v>
      </c>
      <c r="H354" s="219">
        <v>363.041</v>
      </c>
      <c r="I354" s="219">
        <v>438.94900000000001</v>
      </c>
      <c r="J354" s="219">
        <v>453.57299999999998</v>
      </c>
      <c r="K354" s="219">
        <v>512.39800000000002</v>
      </c>
      <c r="L354" s="219">
        <v>532.60599999999999</v>
      </c>
      <c r="M354" s="219">
        <v>402.08800000000002</v>
      </c>
      <c r="N354" s="219">
        <v>498.57299999999998</v>
      </c>
      <c r="O354" s="219">
        <v>398.37</v>
      </c>
      <c r="P354" s="219">
        <v>498.71</v>
      </c>
      <c r="Q354" s="227">
        <f>SUM(E354:P354)</f>
        <v>5439.92</v>
      </c>
    </row>
    <row r="355" spans="1:17" s="146" customFormat="1" ht="50.1" customHeight="1">
      <c r="A355" s="179" t="s">
        <v>4849</v>
      </c>
      <c r="B355" s="1620" t="s">
        <v>4839</v>
      </c>
      <c r="C355" s="1620"/>
      <c r="D355" s="1620"/>
      <c r="E355" s="179">
        <f>482.301+7.908</f>
        <v>490.209</v>
      </c>
      <c r="F355" s="219">
        <f>523.786+6.927</f>
        <v>530.71299999999997</v>
      </c>
      <c r="G355" s="219">
        <f>551.066+3.26</f>
        <v>554.32600000000002</v>
      </c>
      <c r="H355" s="219">
        <f>496.951+2.572</f>
        <v>499.52300000000002</v>
      </c>
      <c r="I355" s="219">
        <f>455.543+2.27</f>
        <v>457.81299999999999</v>
      </c>
      <c r="J355" s="219">
        <f>470.782+2.026</f>
        <v>472.80799999999999</v>
      </c>
      <c r="K355" s="219">
        <f>455.264+2.853</f>
        <v>458.11700000000002</v>
      </c>
      <c r="L355" s="219">
        <f>434.419+1.992</f>
        <v>436.411</v>
      </c>
      <c r="M355" s="219">
        <v>374.24700000000001</v>
      </c>
      <c r="N355" s="219">
        <v>433.82100000000003</v>
      </c>
      <c r="O355" s="219">
        <v>467.56099999999998</v>
      </c>
      <c r="P355" s="219">
        <v>521.39400000000001</v>
      </c>
      <c r="Q355" s="227">
        <f>SUM(E355:P355)</f>
        <v>5696.9430000000002</v>
      </c>
    </row>
    <row r="356" spans="1:17" s="146" customFormat="1" ht="36.75" customHeight="1">
      <c r="A356" s="1621" t="s">
        <v>4850</v>
      </c>
      <c r="B356" s="1621"/>
      <c r="C356" s="1621"/>
      <c r="D356" s="1621"/>
      <c r="E356" s="1621"/>
      <c r="F356" s="1621"/>
      <c r="G356" s="1621"/>
      <c r="H356" s="1621"/>
      <c r="I356" s="1621"/>
      <c r="J356" s="1621"/>
      <c r="K356" s="1621"/>
      <c r="L356" s="1621"/>
      <c r="M356" s="1621"/>
      <c r="N356" s="1621"/>
      <c r="O356" s="1621"/>
      <c r="P356" s="1621"/>
      <c r="Q356" s="1621"/>
    </row>
    <row r="357" spans="1:17" s="146" customFormat="1" ht="50.1" customHeight="1">
      <c r="A357" s="1617" t="s">
        <v>1462</v>
      </c>
      <c r="B357" s="1617"/>
      <c r="C357" s="1618" t="s">
        <v>1463</v>
      </c>
      <c r="D357" s="1618" t="s">
        <v>1464</v>
      </c>
      <c r="E357" s="1617" t="s">
        <v>4851</v>
      </c>
      <c r="F357" s="1617"/>
      <c r="G357" s="1617"/>
      <c r="H357" s="1617"/>
      <c r="I357" s="1617"/>
      <c r="J357" s="1617"/>
      <c r="K357" s="1617"/>
      <c r="L357" s="1617"/>
      <c r="M357" s="1617"/>
      <c r="N357" s="1617"/>
      <c r="O357" s="1617"/>
      <c r="P357" s="1617"/>
      <c r="Q357" s="1618" t="s">
        <v>1466</v>
      </c>
    </row>
    <row r="358" spans="1:17" s="146" customFormat="1" ht="50.1" customHeight="1">
      <c r="A358" s="1617"/>
      <c r="B358" s="1617"/>
      <c r="C358" s="1618"/>
      <c r="D358" s="1619"/>
      <c r="E358" s="1617" t="s">
        <v>1467</v>
      </c>
      <c r="F358" s="1617"/>
      <c r="G358" s="1617"/>
      <c r="H358" s="1617" t="s">
        <v>1468</v>
      </c>
      <c r="I358" s="1617"/>
      <c r="J358" s="1617"/>
      <c r="K358" s="1617" t="s">
        <v>1469</v>
      </c>
      <c r="L358" s="1617"/>
      <c r="M358" s="1617"/>
      <c r="N358" s="1617" t="s">
        <v>1470</v>
      </c>
      <c r="O358" s="1617"/>
      <c r="P358" s="1617"/>
      <c r="Q358" s="1618"/>
    </row>
    <row r="359" spans="1:17" s="146" customFormat="1" ht="50.1" customHeight="1">
      <c r="A359" s="1617"/>
      <c r="B359" s="1617"/>
      <c r="C359" s="1618"/>
      <c r="D359" s="1619"/>
      <c r="E359" s="228" t="s">
        <v>1471</v>
      </c>
      <c r="F359" s="228" t="s">
        <v>1472</v>
      </c>
      <c r="G359" s="228" t="s">
        <v>1473</v>
      </c>
      <c r="H359" s="228" t="s">
        <v>1474</v>
      </c>
      <c r="I359" s="228" t="s">
        <v>1475</v>
      </c>
      <c r="J359" s="228" t="s">
        <v>1476</v>
      </c>
      <c r="K359" s="228" t="s">
        <v>1477</v>
      </c>
      <c r="L359" s="228" t="s">
        <v>1478</v>
      </c>
      <c r="M359" s="228" t="s">
        <v>1479</v>
      </c>
      <c r="N359" s="228" t="s">
        <v>1480</v>
      </c>
      <c r="O359" s="228" t="s">
        <v>1481</v>
      </c>
      <c r="P359" s="228" t="s">
        <v>4522</v>
      </c>
      <c r="Q359" s="1618"/>
    </row>
    <row r="360" spans="1:17" s="146" customFormat="1" ht="24.75" customHeight="1">
      <c r="A360" s="1618">
        <v>1</v>
      </c>
      <c r="B360" s="1618"/>
      <c r="C360" s="173">
        <v>2</v>
      </c>
      <c r="D360" s="173">
        <v>3</v>
      </c>
      <c r="E360" s="173">
        <v>4</v>
      </c>
      <c r="F360" s="173">
        <v>5</v>
      </c>
      <c r="G360" s="173">
        <v>6</v>
      </c>
      <c r="H360" s="173">
        <v>7</v>
      </c>
      <c r="I360" s="173">
        <v>8</v>
      </c>
      <c r="J360" s="173">
        <v>9</v>
      </c>
      <c r="K360" s="173">
        <v>10</v>
      </c>
      <c r="L360" s="173">
        <v>11</v>
      </c>
      <c r="M360" s="173">
        <v>12</v>
      </c>
      <c r="N360" s="173">
        <v>13</v>
      </c>
      <c r="O360" s="173">
        <v>14</v>
      </c>
      <c r="P360" s="173">
        <v>15</v>
      </c>
      <c r="Q360" s="173">
        <v>16</v>
      </c>
    </row>
    <row r="361" spans="1:17" s="146" customFormat="1" ht="50.1" customHeight="1">
      <c r="A361" s="1595" t="s">
        <v>4854</v>
      </c>
      <c r="B361" s="1595"/>
      <c r="C361" s="1595"/>
      <c r="D361" s="1595"/>
      <c r="E361" s="229">
        <f t="shared" ref="E361:P361" si="27">E363+E364+E365+E366+E367</f>
        <v>5.7939327956989244</v>
      </c>
      <c r="F361" s="229">
        <f t="shared" si="27"/>
        <v>6.0753854166666663</v>
      </c>
      <c r="G361" s="229">
        <f t="shared" si="27"/>
        <v>5.328912634408602</v>
      </c>
      <c r="H361" s="229">
        <f t="shared" si="27"/>
        <v>5.0740930555555561</v>
      </c>
      <c r="I361" s="229">
        <f t="shared" si="27"/>
        <v>5.0402258064516126</v>
      </c>
      <c r="J361" s="229">
        <f t="shared" si="27"/>
        <v>4.8453361111111111</v>
      </c>
      <c r="K361" s="229">
        <f t="shared" si="27"/>
        <v>5.3100819892473119</v>
      </c>
      <c r="L361" s="229">
        <f t="shared" si="27"/>
        <v>5.2618602150537637</v>
      </c>
      <c r="M361" s="229">
        <f t="shared" si="27"/>
        <v>4.255263888888889</v>
      </c>
      <c r="N361" s="229">
        <f t="shared" si="27"/>
        <v>5.2891639784946234</v>
      </c>
      <c r="O361" s="229">
        <f t="shared" si="27"/>
        <v>5.5704611111111113</v>
      </c>
      <c r="P361" s="229">
        <f t="shared" si="27"/>
        <v>5.979606182795699</v>
      </c>
      <c r="Q361" s="216">
        <f>SUM(E361:P361)/12</f>
        <v>5.3186935987903237</v>
      </c>
    </row>
    <row r="362" spans="1:17" s="194" customFormat="1" ht="29.25" customHeight="1">
      <c r="A362" s="1622" t="s">
        <v>4837</v>
      </c>
      <c r="B362" s="1623"/>
      <c r="C362" s="1623"/>
      <c r="D362" s="1623"/>
      <c r="E362" s="1623"/>
      <c r="F362" s="1623"/>
      <c r="G362" s="1623"/>
      <c r="H362" s="1623"/>
      <c r="I362" s="1623"/>
      <c r="J362" s="1623"/>
      <c r="K362" s="1623"/>
      <c r="L362" s="1623"/>
      <c r="M362" s="1623"/>
      <c r="N362" s="1623"/>
      <c r="O362" s="1623"/>
      <c r="P362" s="1623"/>
      <c r="Q362" s="1623"/>
    </row>
    <row r="363" spans="1:17" s="146" customFormat="1" ht="50.1" customHeight="1">
      <c r="A363" s="173" t="s">
        <v>4846</v>
      </c>
      <c r="B363" s="1596" t="s">
        <v>4855</v>
      </c>
      <c r="C363" s="1596"/>
      <c r="D363" s="1596"/>
      <c r="E363" s="219">
        <v>0</v>
      </c>
      <c r="F363" s="219">
        <v>0</v>
      </c>
      <c r="G363" s="219">
        <v>0</v>
      </c>
      <c r="H363" s="219">
        <v>0</v>
      </c>
      <c r="I363" s="219">
        <v>0</v>
      </c>
      <c r="J363" s="219">
        <v>0</v>
      </c>
      <c r="K363" s="219">
        <v>0</v>
      </c>
      <c r="L363" s="219">
        <v>0</v>
      </c>
      <c r="M363" s="219">
        <v>0</v>
      </c>
      <c r="N363" s="219">
        <v>0</v>
      </c>
      <c r="O363" s="219">
        <v>0</v>
      </c>
      <c r="P363" s="219">
        <v>0</v>
      </c>
      <c r="Q363" s="216">
        <f>SUM(E363:P363)/12</f>
        <v>0</v>
      </c>
    </row>
    <row r="364" spans="1:17" s="146" customFormat="1" ht="50.1" customHeight="1">
      <c r="A364" s="173" t="s">
        <v>4847</v>
      </c>
      <c r="B364" s="1596" t="s">
        <v>4855</v>
      </c>
      <c r="C364" s="1596"/>
      <c r="D364" s="1596"/>
      <c r="E364" s="219">
        <f>E353/24/31</f>
        <v>6.4239247311827952E-2</v>
      </c>
      <c r="F364" s="219">
        <f>F353/24/28</f>
        <v>6.0925595238095244E-2</v>
      </c>
      <c r="G364" s="219">
        <f>G353/24/31</f>
        <v>5.5521505376344087E-2</v>
      </c>
      <c r="H364" s="219">
        <f>H353/24/30</f>
        <v>5.1422222222222223E-2</v>
      </c>
      <c r="I364" s="219">
        <f>I353/24/31</f>
        <v>4.827016129032257E-2</v>
      </c>
      <c r="J364" s="219">
        <f>J353/24/30</f>
        <v>4.7448611111111108E-2</v>
      </c>
      <c r="K364" s="219">
        <f>K353/24/31</f>
        <v>5.3961021505376343E-2</v>
      </c>
      <c r="L364" s="219">
        <f>L353/24/31</f>
        <v>4.5255376344086023E-2</v>
      </c>
      <c r="M364" s="219">
        <f>M353/24/30</f>
        <v>3.8897222222222222E-2</v>
      </c>
      <c r="N364" s="219">
        <f>N353/24/31</f>
        <v>4.0788978494623658E-2</v>
      </c>
      <c r="O364" s="219">
        <f>O353/24/30</f>
        <v>5.4586111111111113E-2</v>
      </c>
      <c r="P364" s="219">
        <f>P353/24/31</f>
        <v>5.4678763440860215E-2</v>
      </c>
      <c r="Q364" s="216">
        <f>SUM(E364:P364)/12</f>
        <v>5.1332901305683569E-2</v>
      </c>
    </row>
    <row r="365" spans="1:17" s="146" customFormat="1" ht="50.1" customHeight="1">
      <c r="A365" s="179" t="s">
        <v>675</v>
      </c>
      <c r="B365" s="1596" t="s">
        <v>4855</v>
      </c>
      <c r="C365" s="1596"/>
      <c r="D365" s="1596"/>
      <c r="E365" s="219">
        <f>E354/8/31</f>
        <v>1.8196935483870968</v>
      </c>
      <c r="F365" s="219">
        <f>F354/8/28</f>
        <v>2.0854598214285711</v>
      </c>
      <c r="G365" s="219">
        <f>G354/8/31</f>
        <v>1.706391129032258</v>
      </c>
      <c r="H365" s="219">
        <f>H354/8/30</f>
        <v>1.5126708333333334</v>
      </c>
      <c r="I365" s="219">
        <f>I354/8/31</f>
        <v>1.7699556451612903</v>
      </c>
      <c r="J365" s="219">
        <f>J354/8/30</f>
        <v>1.8898874999999999</v>
      </c>
      <c r="K365" s="219">
        <f>K354/8/31</f>
        <v>2.0661209677419357</v>
      </c>
      <c r="L365" s="219">
        <f>L354/8/31</f>
        <v>2.1476048387096776</v>
      </c>
      <c r="M365" s="219">
        <f>M354/8/30</f>
        <v>1.6753666666666667</v>
      </c>
      <c r="N365" s="219">
        <f>N354/8/31</f>
        <v>2.0103749999999998</v>
      </c>
      <c r="O365" s="219">
        <f>O354/8/30</f>
        <v>1.659875</v>
      </c>
      <c r="P365" s="219">
        <f>P354/8/31</f>
        <v>2.0109274193548385</v>
      </c>
      <c r="Q365" s="216">
        <f>SUM(E365:P365)/12</f>
        <v>1.8628606974846391</v>
      </c>
    </row>
    <row r="366" spans="1:17" s="146" customFormat="1" ht="50.1" customHeight="1">
      <c r="A366" s="173" t="s">
        <v>4849</v>
      </c>
      <c r="B366" s="1596" t="s">
        <v>4855</v>
      </c>
      <c r="C366" s="1596"/>
      <c r="D366" s="1596"/>
      <c r="E366" s="219">
        <v>1.115</v>
      </c>
      <c r="F366" s="219">
        <v>1.2210000000000001</v>
      </c>
      <c r="G366" s="219">
        <v>1.139</v>
      </c>
      <c r="H366" s="219">
        <v>1.3440000000000001</v>
      </c>
      <c r="I366" s="219">
        <v>1.3</v>
      </c>
      <c r="J366" s="219">
        <v>1.1930000000000001</v>
      </c>
      <c r="K366" s="219">
        <v>1.268</v>
      </c>
      <c r="L366" s="219">
        <v>0.93799999999999994</v>
      </c>
      <c r="M366" s="219">
        <v>0.72699999999999998</v>
      </c>
      <c r="N366" s="219">
        <v>0.96699999999999997</v>
      </c>
      <c r="O366" s="219">
        <v>1.365</v>
      </c>
      <c r="P366" s="219">
        <v>1.206</v>
      </c>
      <c r="Q366" s="216">
        <f>SUM(E366:P366)/12</f>
        <v>1.1485833333333335</v>
      </c>
    </row>
    <row r="367" spans="1:17" customFormat="1" ht="50.1" customHeight="1">
      <c r="A367" s="230" t="s">
        <v>4844</v>
      </c>
      <c r="B367" s="1596" t="s">
        <v>4855</v>
      </c>
      <c r="C367" s="1596"/>
      <c r="D367" s="1596"/>
      <c r="E367" s="231">
        <v>2.7949999999999999</v>
      </c>
      <c r="F367" s="231">
        <v>2.7080000000000002</v>
      </c>
      <c r="G367" s="231">
        <v>2.4279999999999999</v>
      </c>
      <c r="H367" s="231">
        <v>2.1659999999999999</v>
      </c>
      <c r="I367" s="231">
        <v>1.9219999999999999</v>
      </c>
      <c r="J367" s="231">
        <v>1.7150000000000001</v>
      </c>
      <c r="K367" s="231">
        <v>1.9219999999999999</v>
      </c>
      <c r="L367" s="231">
        <v>2.1309999999999998</v>
      </c>
      <c r="M367" s="231">
        <v>1.8140000000000001</v>
      </c>
      <c r="N367" s="231">
        <v>2.2709999999999999</v>
      </c>
      <c r="O367" s="231">
        <v>2.4910000000000001</v>
      </c>
      <c r="P367" s="231">
        <v>2.7080000000000002</v>
      </c>
      <c r="Q367" s="216">
        <f>SUM(E367:P367)/12</f>
        <v>2.2559166666666663</v>
      </c>
    </row>
    <row r="368" spans="1:17" s="200" customFormat="1" ht="17.25" customHeight="1"/>
    <row r="369" spans="1:17" s="201" customFormat="1" ht="27" customHeight="1">
      <c r="A369" s="1600" t="s">
        <v>5060</v>
      </c>
      <c r="B369" s="1600"/>
      <c r="C369" s="1600"/>
      <c r="D369" s="1600"/>
      <c r="E369" s="1600"/>
      <c r="F369" s="1600"/>
      <c r="G369" s="1600"/>
      <c r="H369" s="1600"/>
      <c r="I369" s="1600"/>
      <c r="J369" s="1600"/>
      <c r="K369" s="1600"/>
      <c r="L369" s="1600"/>
      <c r="M369" s="1600"/>
      <c r="N369" s="1600"/>
      <c r="O369" s="1600"/>
      <c r="P369" s="1600"/>
      <c r="Q369" s="1600"/>
    </row>
    <row r="370" spans="1:17" customFormat="1" ht="26.25">
      <c r="A370" s="1601" t="s">
        <v>1459</v>
      </c>
      <c r="B370" s="1601"/>
      <c r="C370" s="1601"/>
      <c r="D370" s="1601"/>
      <c r="E370" s="1601"/>
      <c r="F370" s="1601"/>
      <c r="G370" s="1601"/>
      <c r="H370" s="1601"/>
      <c r="I370" s="1601"/>
      <c r="J370" s="1601"/>
      <c r="K370" s="1601"/>
      <c r="L370" s="1601"/>
      <c r="M370" s="1601"/>
      <c r="N370" s="1601"/>
      <c r="O370" s="1601"/>
      <c r="P370" s="1601"/>
      <c r="Q370" s="1601"/>
    </row>
    <row r="371" spans="1:17" customFormat="1">
      <c r="A371" s="1615" t="s">
        <v>673</v>
      </c>
      <c r="B371" s="1615"/>
      <c r="C371" s="1615"/>
      <c r="D371" s="1615"/>
      <c r="E371" s="1615"/>
      <c r="F371" s="1615"/>
      <c r="G371" s="1615"/>
      <c r="H371" s="1615"/>
      <c r="I371" s="1615"/>
      <c r="J371" s="1615"/>
      <c r="K371" s="1615"/>
      <c r="L371" s="1615"/>
      <c r="M371" s="1615"/>
      <c r="N371" s="1615"/>
      <c r="O371" s="1615"/>
      <c r="P371" s="1615"/>
      <c r="Q371" s="1615"/>
    </row>
    <row r="372" spans="1:17" customFormat="1" ht="27.75" customHeight="1">
      <c r="A372" s="1594" t="s">
        <v>1460</v>
      </c>
      <c r="B372" s="1594"/>
      <c r="C372" s="1594"/>
      <c r="D372" s="1594"/>
      <c r="E372" s="1594"/>
      <c r="F372" s="1594"/>
      <c r="G372" s="1594"/>
      <c r="H372" s="1594"/>
      <c r="I372" s="1594"/>
      <c r="J372" s="1594"/>
      <c r="K372" s="1594"/>
      <c r="L372" s="1594"/>
      <c r="M372" s="1594"/>
      <c r="N372" s="1594"/>
      <c r="O372" s="1594"/>
      <c r="P372" s="1594"/>
      <c r="Q372" s="144"/>
    </row>
    <row r="373" spans="1:17" customFormat="1" ht="24.95" customHeight="1">
      <c r="A373" s="1592" t="s">
        <v>1461</v>
      </c>
      <c r="B373" s="1592"/>
      <c r="C373" s="1592"/>
      <c r="D373" s="1592"/>
      <c r="E373" s="145"/>
      <c r="F373" s="145"/>
      <c r="G373" s="145"/>
      <c r="H373" s="145"/>
      <c r="I373" s="145"/>
      <c r="J373" s="145"/>
      <c r="K373" s="145"/>
      <c r="L373" s="145"/>
      <c r="M373" s="145"/>
      <c r="N373" s="145"/>
      <c r="O373" s="145"/>
      <c r="P373" s="145"/>
      <c r="Q373" s="144"/>
    </row>
    <row r="374" spans="1:17" s="146" customFormat="1" ht="46.5" customHeight="1">
      <c r="A374" s="1590" t="s">
        <v>1462</v>
      </c>
      <c r="B374" s="1590"/>
      <c r="C374" s="1582" t="s">
        <v>1463</v>
      </c>
      <c r="D374" s="1582" t="s">
        <v>1464</v>
      </c>
      <c r="E374" s="1590" t="s">
        <v>1465</v>
      </c>
      <c r="F374" s="1590"/>
      <c r="G374" s="1590"/>
      <c r="H374" s="1590"/>
      <c r="I374" s="1590"/>
      <c r="J374" s="1590"/>
      <c r="K374" s="1590"/>
      <c r="L374" s="1590"/>
      <c r="M374" s="1590"/>
      <c r="N374" s="1590"/>
      <c r="O374" s="1590"/>
      <c r="P374" s="1590"/>
      <c r="Q374" s="1582" t="s">
        <v>1466</v>
      </c>
    </row>
    <row r="375" spans="1:17" s="146" customFormat="1" ht="60" customHeight="1">
      <c r="A375" s="1590"/>
      <c r="B375" s="1590"/>
      <c r="C375" s="1582"/>
      <c r="D375" s="1583"/>
      <c r="E375" s="1590" t="s">
        <v>1467</v>
      </c>
      <c r="F375" s="1590"/>
      <c r="G375" s="1590"/>
      <c r="H375" s="1590" t="s">
        <v>1468</v>
      </c>
      <c r="I375" s="1590"/>
      <c r="J375" s="1590"/>
      <c r="K375" s="1590" t="s">
        <v>1469</v>
      </c>
      <c r="L375" s="1590"/>
      <c r="M375" s="1590"/>
      <c r="N375" s="1590" t="s">
        <v>1470</v>
      </c>
      <c r="O375" s="1590"/>
      <c r="P375" s="1590"/>
      <c r="Q375" s="1582"/>
    </row>
    <row r="376" spans="1:17" s="146" customFormat="1" ht="31.5" customHeight="1">
      <c r="A376" s="1590"/>
      <c r="B376" s="1590"/>
      <c r="C376" s="1582"/>
      <c r="D376" s="1583"/>
      <c r="E376" s="147" t="s">
        <v>1471</v>
      </c>
      <c r="F376" s="147" t="s">
        <v>1472</v>
      </c>
      <c r="G376" s="147" t="s">
        <v>1473</v>
      </c>
      <c r="H376" s="147" t="s">
        <v>1474</v>
      </c>
      <c r="I376" s="147" t="s">
        <v>1475</v>
      </c>
      <c r="J376" s="147" t="s">
        <v>1476</v>
      </c>
      <c r="K376" s="147" t="s">
        <v>1477</v>
      </c>
      <c r="L376" s="147" t="s">
        <v>1478</v>
      </c>
      <c r="M376" s="147" t="s">
        <v>1479</v>
      </c>
      <c r="N376" s="147" t="s">
        <v>1480</v>
      </c>
      <c r="O376" s="147" t="s">
        <v>1481</v>
      </c>
      <c r="P376" s="147" t="s">
        <v>4522</v>
      </c>
      <c r="Q376" s="1582"/>
    </row>
    <row r="377" spans="1:17" s="146" customFormat="1" ht="18" customHeight="1">
      <c r="A377" s="148">
        <v>1</v>
      </c>
      <c r="B377" s="148">
        <v>2</v>
      </c>
      <c r="C377" s="148">
        <v>3</v>
      </c>
      <c r="D377" s="148">
        <v>4</v>
      </c>
      <c r="E377" s="149">
        <v>5</v>
      </c>
      <c r="F377" s="149">
        <v>6</v>
      </c>
      <c r="G377" s="149">
        <v>7</v>
      </c>
      <c r="H377" s="149">
        <v>8</v>
      </c>
      <c r="I377" s="149">
        <v>9</v>
      </c>
      <c r="J377" s="149">
        <v>10</v>
      </c>
      <c r="K377" s="149">
        <v>11</v>
      </c>
      <c r="L377" s="149">
        <v>12</v>
      </c>
      <c r="M377" s="149">
        <v>13</v>
      </c>
      <c r="N377" s="149">
        <v>14</v>
      </c>
      <c r="O377" s="149">
        <v>15</v>
      </c>
      <c r="P377" s="149">
        <v>16</v>
      </c>
      <c r="Q377" s="149">
        <v>17</v>
      </c>
    </row>
    <row r="378" spans="1:17" s="146" customFormat="1" ht="60" customHeight="1">
      <c r="A378" s="1584" t="s">
        <v>4836</v>
      </c>
      <c r="B378" s="1584"/>
      <c r="C378" s="1584"/>
      <c r="D378" s="1584"/>
      <c r="E378" s="202">
        <f t="shared" ref="E378:P378" si="28">E387+E388+E389+E390+E391</f>
        <v>12210.771000000001</v>
      </c>
      <c r="F378" s="202">
        <f t="shared" si="28"/>
        <v>14592.789999999999</v>
      </c>
      <c r="G378" s="202">
        <f t="shared" si="28"/>
        <v>15610.81</v>
      </c>
      <c r="H378" s="202">
        <f t="shared" si="28"/>
        <v>14627.894</v>
      </c>
      <c r="I378" s="202">
        <f t="shared" si="28"/>
        <v>14879.158000000001</v>
      </c>
      <c r="J378" s="202">
        <f t="shared" si="28"/>
        <v>16184.723999999998</v>
      </c>
      <c r="K378" s="202">
        <f t="shared" si="28"/>
        <v>16424.317999999999</v>
      </c>
      <c r="L378" s="202">
        <f t="shared" si="28"/>
        <v>15019.794</v>
      </c>
      <c r="M378" s="202">
        <f t="shared" si="28"/>
        <v>5588.3429999999998</v>
      </c>
      <c r="N378" s="202">
        <f t="shared" si="28"/>
        <v>15047.598</v>
      </c>
      <c r="O378" s="202">
        <f t="shared" si="28"/>
        <v>15830.615</v>
      </c>
      <c r="P378" s="202">
        <f t="shared" si="28"/>
        <v>16159.839</v>
      </c>
      <c r="Q378" s="203">
        <f>SUM(E378:P378)</f>
        <v>172176.65399999998</v>
      </c>
    </row>
    <row r="379" spans="1:17" s="146" customFormat="1" ht="27" customHeight="1">
      <c r="A379" s="1586" t="s">
        <v>4837</v>
      </c>
      <c r="B379" s="1587"/>
      <c r="C379" s="1587"/>
      <c r="D379" s="1587"/>
      <c r="E379" s="1587"/>
      <c r="F379" s="1587"/>
      <c r="G379" s="1587"/>
      <c r="H379" s="1587"/>
      <c r="I379" s="1587"/>
      <c r="J379" s="1587"/>
      <c r="K379" s="1587"/>
      <c r="L379" s="1587"/>
      <c r="M379" s="1587"/>
      <c r="N379" s="1587"/>
      <c r="O379" s="1587"/>
      <c r="P379" s="1587"/>
      <c r="Q379" s="1588"/>
    </row>
    <row r="380" spans="1:17" s="146" customFormat="1" ht="50.1" customHeight="1">
      <c r="A380" s="204" t="s">
        <v>674</v>
      </c>
      <c r="B380" s="205" t="s">
        <v>4839</v>
      </c>
      <c r="C380" s="205" t="s">
        <v>4840</v>
      </c>
      <c r="D380" s="205" t="s">
        <v>4841</v>
      </c>
      <c r="E380" s="1472">
        <f>E378+E381+E382+E384+E385+E383</f>
        <v>41523.694000000003</v>
      </c>
      <c r="F380" s="1472">
        <f t="shared" ref="F380:P380" si="29">F378+F381+F382+F384+F385+F383</f>
        <v>40442.512000000002</v>
      </c>
      <c r="G380" s="1472">
        <f t="shared" si="29"/>
        <v>48441.931000000004</v>
      </c>
      <c r="H380" s="1472">
        <f t="shared" si="29"/>
        <v>38809.524999999994</v>
      </c>
      <c r="I380" s="1472">
        <f t="shared" si="29"/>
        <v>41407.159</v>
      </c>
      <c r="J380" s="1472">
        <f t="shared" si="29"/>
        <v>37971.513999999996</v>
      </c>
      <c r="K380" s="1472">
        <f t="shared" si="29"/>
        <v>44990.495999999999</v>
      </c>
      <c r="L380" s="1472">
        <f t="shared" si="29"/>
        <v>50101.631999999998</v>
      </c>
      <c r="M380" s="1472">
        <f t="shared" si="29"/>
        <v>32202.391999999996</v>
      </c>
      <c r="N380" s="1472">
        <f t="shared" si="29"/>
        <v>40114.217000000004</v>
      </c>
      <c r="O380" s="1472">
        <f t="shared" si="29"/>
        <v>39165.179000000004</v>
      </c>
      <c r="P380" s="1472">
        <f t="shared" si="29"/>
        <v>45825.923000000003</v>
      </c>
      <c r="Q380" s="207">
        <f t="shared" ref="Q380:Q385" si="30">SUM(E380:P380)</f>
        <v>500996.174</v>
      </c>
    </row>
    <row r="381" spans="1:17" s="146" customFormat="1" ht="50.1" customHeight="1">
      <c r="A381" s="204" t="s">
        <v>674</v>
      </c>
      <c r="B381" s="205" t="s">
        <v>4839</v>
      </c>
      <c r="C381" s="205" t="s">
        <v>4840</v>
      </c>
      <c r="D381" s="205" t="s">
        <v>4842</v>
      </c>
      <c r="E381" s="205">
        <v>15385.8</v>
      </c>
      <c r="F381" s="206">
        <v>13320.7</v>
      </c>
      <c r="G381" s="206">
        <v>19292.8</v>
      </c>
      <c r="H381" s="206">
        <v>11274.6</v>
      </c>
      <c r="I381" s="206">
        <v>14156.8</v>
      </c>
      <c r="J381" s="206">
        <v>10566.6</v>
      </c>
      <c r="K381" s="206">
        <v>16177.4</v>
      </c>
      <c r="L381" s="206">
        <v>22615.8</v>
      </c>
      <c r="M381" s="206">
        <v>16004.4</v>
      </c>
      <c r="N381" s="206">
        <v>13013.3</v>
      </c>
      <c r="O381" s="206">
        <v>10305.4</v>
      </c>
      <c r="P381" s="206">
        <v>15542.2</v>
      </c>
      <c r="Q381" s="208">
        <f t="shared" si="30"/>
        <v>177655.8</v>
      </c>
    </row>
    <row r="382" spans="1:17" s="171" customFormat="1" ht="50.1" customHeight="1">
      <c r="A382" s="209" t="s">
        <v>4843</v>
      </c>
      <c r="B382" s="209" t="s">
        <v>4839</v>
      </c>
      <c r="C382" s="205" t="s">
        <v>269</v>
      </c>
      <c r="D382" s="209" t="s">
        <v>4841</v>
      </c>
      <c r="E382" s="209">
        <v>88</v>
      </c>
      <c r="F382" s="210">
        <v>36</v>
      </c>
      <c r="G382" s="210">
        <v>42</v>
      </c>
      <c r="H382" s="210">
        <v>54</v>
      </c>
      <c r="I382" s="210">
        <v>39.799999999999997</v>
      </c>
      <c r="J382" s="210">
        <v>44.6</v>
      </c>
      <c r="K382" s="210">
        <v>55</v>
      </c>
      <c r="L382" s="210">
        <v>68.099999999999994</v>
      </c>
      <c r="M382" s="210">
        <v>56.1</v>
      </c>
      <c r="N382" s="210">
        <v>62.3</v>
      </c>
      <c r="O382" s="210">
        <v>67</v>
      </c>
      <c r="P382" s="210">
        <v>80</v>
      </c>
      <c r="Q382" s="211">
        <f t="shared" si="30"/>
        <v>692.9</v>
      </c>
    </row>
    <row r="383" spans="1:17" s="171" customFormat="1" ht="50.1" customHeight="1">
      <c r="A383" s="209" t="s">
        <v>4843</v>
      </c>
      <c r="B383" s="209" t="s">
        <v>4839</v>
      </c>
      <c r="C383" s="205" t="s">
        <v>4840</v>
      </c>
      <c r="D383" s="209" t="s">
        <v>4842</v>
      </c>
      <c r="E383" s="209">
        <v>5200</v>
      </c>
      <c r="F383" s="210">
        <v>4950</v>
      </c>
      <c r="G383" s="210">
        <v>4800</v>
      </c>
      <c r="H383" s="210">
        <v>4400</v>
      </c>
      <c r="I383" s="210">
        <v>4430</v>
      </c>
      <c r="J383" s="210">
        <v>4320</v>
      </c>
      <c r="K383" s="210">
        <v>4950</v>
      </c>
      <c r="L383" s="210">
        <v>4500</v>
      </c>
      <c r="M383" s="210">
        <v>4200</v>
      </c>
      <c r="N383" s="210">
        <v>5000</v>
      </c>
      <c r="O383" s="210">
        <v>5000</v>
      </c>
      <c r="P383" s="210">
        <v>5400</v>
      </c>
      <c r="Q383" s="211">
        <f t="shared" si="30"/>
        <v>57150</v>
      </c>
    </row>
    <row r="384" spans="1:17" s="171" customFormat="1" ht="50.1" customHeight="1">
      <c r="A384" s="209" t="s">
        <v>670</v>
      </c>
      <c r="B384" s="209" t="s">
        <v>4839</v>
      </c>
      <c r="C384" s="205" t="s">
        <v>4840</v>
      </c>
      <c r="D384" s="209" t="s">
        <v>4842</v>
      </c>
      <c r="E384" s="209">
        <v>639.12300000000005</v>
      </c>
      <c r="F384" s="210">
        <v>593.02200000000005</v>
      </c>
      <c r="G384" s="210">
        <v>596.32100000000003</v>
      </c>
      <c r="H384" s="210">
        <v>553.03099999999995</v>
      </c>
      <c r="I384" s="210">
        <v>551.40099999999995</v>
      </c>
      <c r="J384" s="210">
        <v>645.59</v>
      </c>
      <c r="K384" s="210">
        <v>683.77800000000002</v>
      </c>
      <c r="L384" s="210">
        <v>757.93799999999999</v>
      </c>
      <c r="M384" s="210">
        <v>603.54899999999998</v>
      </c>
      <c r="N384" s="210">
        <v>611.01900000000001</v>
      </c>
      <c r="O384" s="210">
        <v>622.16399999999999</v>
      </c>
      <c r="P384" s="210">
        <v>673.88400000000001</v>
      </c>
      <c r="Q384" s="211">
        <f t="shared" si="30"/>
        <v>7530.82</v>
      </c>
    </row>
    <row r="385" spans="1:254" s="146" customFormat="1" ht="50.1" customHeight="1">
      <c r="A385" s="205" t="s">
        <v>4844</v>
      </c>
      <c r="B385" s="205" t="s">
        <v>4839</v>
      </c>
      <c r="C385" s="205" t="s">
        <v>4840</v>
      </c>
      <c r="D385" s="205" t="s">
        <v>4842</v>
      </c>
      <c r="E385" s="205">
        <v>8000</v>
      </c>
      <c r="F385" s="206">
        <v>6950</v>
      </c>
      <c r="G385" s="206">
        <v>8100</v>
      </c>
      <c r="H385" s="206">
        <v>7900</v>
      </c>
      <c r="I385" s="206">
        <v>7350</v>
      </c>
      <c r="J385" s="206">
        <v>6210</v>
      </c>
      <c r="K385" s="206">
        <v>6700</v>
      </c>
      <c r="L385" s="206">
        <v>7140</v>
      </c>
      <c r="M385" s="206">
        <v>5750</v>
      </c>
      <c r="N385" s="206">
        <v>6380</v>
      </c>
      <c r="O385" s="206">
        <v>7340</v>
      </c>
      <c r="P385" s="206">
        <v>7970</v>
      </c>
      <c r="Q385" s="208">
        <f t="shared" si="30"/>
        <v>85790</v>
      </c>
    </row>
    <row r="386" spans="1:254" s="146" customFormat="1" ht="39.950000000000003" customHeight="1">
      <c r="A386" s="1604" t="s">
        <v>4845</v>
      </c>
      <c r="B386" s="1604"/>
      <c r="C386" s="1604"/>
      <c r="D386" s="1604"/>
      <c r="E386" s="1604"/>
      <c r="F386" s="1604"/>
      <c r="G386" s="1604"/>
      <c r="H386" s="1604"/>
      <c r="I386" s="1604"/>
      <c r="J386" s="1604"/>
      <c r="K386" s="1604"/>
      <c r="L386" s="1604"/>
      <c r="M386" s="1604"/>
      <c r="N386" s="1604"/>
      <c r="O386" s="1604"/>
      <c r="P386" s="1604"/>
      <c r="Q386" s="1604"/>
    </row>
    <row r="387" spans="1:254" s="146" customFormat="1" ht="50.1" customHeight="1">
      <c r="A387" s="205" t="s">
        <v>4846</v>
      </c>
      <c r="B387" s="1603" t="s">
        <v>4839</v>
      </c>
      <c r="C387" s="1603"/>
      <c r="D387" s="1603"/>
      <c r="E387" s="212">
        <v>201.87899999999999</v>
      </c>
      <c r="F387" s="212">
        <v>753.36199999999997</v>
      </c>
      <c r="G387" s="212">
        <v>1121.797</v>
      </c>
      <c r="H387" s="212">
        <v>1899.443</v>
      </c>
      <c r="I387" s="212">
        <v>2206.308</v>
      </c>
      <c r="J387" s="212">
        <v>2318.3319999999999</v>
      </c>
      <c r="K387" s="212">
        <v>2374.5549999999998</v>
      </c>
      <c r="L387" s="212">
        <v>2221.0949999999998</v>
      </c>
      <c r="M387" s="206">
        <v>272.41199999999998</v>
      </c>
      <c r="N387" s="206">
        <v>2138.058</v>
      </c>
      <c r="O387" s="206">
        <v>1419.452</v>
      </c>
      <c r="P387" s="206">
        <v>306</v>
      </c>
      <c r="Q387" s="208">
        <f>SUM(E387:P387)</f>
        <v>17232.692999999999</v>
      </c>
    </row>
    <row r="388" spans="1:254" s="146" customFormat="1" ht="50.1" customHeight="1">
      <c r="A388" s="205" t="s">
        <v>4847</v>
      </c>
      <c r="B388" s="1603" t="s">
        <v>4839</v>
      </c>
      <c r="C388" s="1603"/>
      <c r="D388" s="1603"/>
      <c r="E388" s="212">
        <v>638.774</v>
      </c>
      <c r="F388" s="212">
        <v>763.38300000000004</v>
      </c>
      <c r="G388" s="212">
        <v>816.63800000000003</v>
      </c>
      <c r="H388" s="212">
        <v>765.22</v>
      </c>
      <c r="I388" s="212">
        <v>778.36400000000003</v>
      </c>
      <c r="J388" s="212">
        <v>846.66099999999994</v>
      </c>
      <c r="K388" s="212">
        <v>859.19500000000005</v>
      </c>
      <c r="L388" s="212">
        <v>785.721</v>
      </c>
      <c r="M388" s="206">
        <v>292.339</v>
      </c>
      <c r="N388" s="206">
        <v>787.17499999999995</v>
      </c>
      <c r="O388" s="206">
        <v>828.13699999999994</v>
      </c>
      <c r="P388" s="206">
        <v>845.35900000000004</v>
      </c>
      <c r="Q388" s="208">
        <f>SUM(E388:P388)</f>
        <v>9006.9660000000003</v>
      </c>
    </row>
    <row r="389" spans="1:254" s="146" customFormat="1" ht="50.1" customHeight="1">
      <c r="A389" s="148" t="s">
        <v>675</v>
      </c>
      <c r="B389" s="1603" t="s">
        <v>4839</v>
      </c>
      <c r="C389" s="1603"/>
      <c r="D389" s="1603"/>
      <c r="E389" s="212">
        <v>185.755</v>
      </c>
      <c r="F389" s="212">
        <v>179.86500000000001</v>
      </c>
      <c r="G389" s="212">
        <v>206.4</v>
      </c>
      <c r="H389" s="212">
        <v>127.378</v>
      </c>
      <c r="I389" s="212">
        <v>113.81</v>
      </c>
      <c r="J389" s="212">
        <v>123.03100000000001</v>
      </c>
      <c r="K389" s="212">
        <v>121.69499999999999</v>
      </c>
      <c r="L389" s="212">
        <v>121.559</v>
      </c>
      <c r="M389" s="212">
        <v>127.878</v>
      </c>
      <c r="N389" s="206">
        <v>154.59399999999999</v>
      </c>
      <c r="O389" s="206">
        <v>170.31800000000001</v>
      </c>
      <c r="P389" s="206">
        <v>195.78200000000001</v>
      </c>
      <c r="Q389" s="208">
        <f>SUM(E389:P389)</f>
        <v>1828.0649999999998</v>
      </c>
    </row>
    <row r="390" spans="1:254" s="146" customFormat="1" ht="50.1" customHeight="1">
      <c r="A390" s="205" t="s">
        <v>676</v>
      </c>
      <c r="B390" s="1603" t="s">
        <v>4839</v>
      </c>
      <c r="C390" s="1603"/>
      <c r="D390" s="1603"/>
      <c r="E390" s="212">
        <v>262.8</v>
      </c>
      <c r="F390" s="212">
        <v>255.136</v>
      </c>
      <c r="G390" s="212">
        <v>241.42400000000001</v>
      </c>
      <c r="H390" s="212">
        <v>240</v>
      </c>
      <c r="I390" s="212">
        <v>247.44</v>
      </c>
      <c r="J390" s="212">
        <v>246.24</v>
      </c>
      <c r="K390" s="212">
        <v>255.6</v>
      </c>
      <c r="L390" s="212">
        <v>241.68</v>
      </c>
      <c r="M390" s="206">
        <v>229.92</v>
      </c>
      <c r="N390" s="206">
        <v>264.53899999999999</v>
      </c>
      <c r="O390" s="206">
        <v>257.41199999999998</v>
      </c>
      <c r="P390" s="206">
        <v>272.21899999999999</v>
      </c>
      <c r="Q390" s="208">
        <f>SUM(E390:P390)</f>
        <v>3014.4099999999994</v>
      </c>
    </row>
    <row r="391" spans="1:254" s="171" customFormat="1" ht="66.75" customHeight="1">
      <c r="A391" s="202" t="s">
        <v>4849</v>
      </c>
      <c r="B391" s="1610" t="s">
        <v>4839</v>
      </c>
      <c r="C391" s="1610"/>
      <c r="D391" s="1610"/>
      <c r="E391" s="212">
        <v>10921.563</v>
      </c>
      <c r="F391" s="212">
        <v>12641.044</v>
      </c>
      <c r="G391" s="212">
        <v>13224.550999999999</v>
      </c>
      <c r="H391" s="212">
        <v>11595.852999999999</v>
      </c>
      <c r="I391" s="212">
        <v>11533.236000000001</v>
      </c>
      <c r="J391" s="212">
        <v>12650.46</v>
      </c>
      <c r="K391" s="212">
        <v>12813.272999999999</v>
      </c>
      <c r="L391" s="212">
        <v>11649.739</v>
      </c>
      <c r="M391" s="212">
        <v>4665.7939999999999</v>
      </c>
      <c r="N391" s="212">
        <v>11703.232</v>
      </c>
      <c r="O391" s="212">
        <v>13155.296</v>
      </c>
      <c r="P391" s="212">
        <v>14540.478999999999</v>
      </c>
      <c r="Q391" s="213">
        <f>SUM(E391:P391)</f>
        <v>141094.51999999999</v>
      </c>
    </row>
    <row r="392" spans="1:254" s="146" customFormat="1" ht="29.25" customHeight="1">
      <c r="A392" s="1608" t="s">
        <v>4850</v>
      </c>
      <c r="B392" s="1608"/>
      <c r="C392" s="1608"/>
      <c r="D392" s="1608"/>
      <c r="E392" s="1608"/>
      <c r="F392" s="1608"/>
      <c r="G392" s="1608"/>
      <c r="H392" s="1608"/>
      <c r="I392" s="1608"/>
      <c r="J392" s="1608"/>
      <c r="K392" s="1608"/>
      <c r="L392" s="1608"/>
      <c r="M392" s="1608"/>
      <c r="N392" s="1608"/>
      <c r="O392" s="1608"/>
      <c r="P392" s="1608"/>
      <c r="Q392" s="1608"/>
    </row>
    <row r="393" spans="1:254" s="146" customFormat="1" ht="50.1" customHeight="1">
      <c r="A393" s="1602" t="s">
        <v>1462</v>
      </c>
      <c r="B393" s="1602"/>
      <c r="C393" s="1605" t="s">
        <v>1463</v>
      </c>
      <c r="D393" s="1605" t="s">
        <v>1464</v>
      </c>
      <c r="E393" s="1602" t="s">
        <v>4851</v>
      </c>
      <c r="F393" s="1602"/>
      <c r="G393" s="1602"/>
      <c r="H393" s="1602"/>
      <c r="I393" s="1602"/>
      <c r="J393" s="1602"/>
      <c r="K393" s="1602"/>
      <c r="L393" s="1602"/>
      <c r="M393" s="1602"/>
      <c r="N393" s="1602"/>
      <c r="O393" s="1602"/>
      <c r="P393" s="1602"/>
      <c r="Q393" s="1605" t="s">
        <v>1466</v>
      </c>
    </row>
    <row r="394" spans="1:254" s="146" customFormat="1" ht="50.1" customHeight="1">
      <c r="A394" s="1602"/>
      <c r="B394" s="1602"/>
      <c r="C394" s="1605"/>
      <c r="D394" s="1609"/>
      <c r="E394" s="1602" t="s">
        <v>1467</v>
      </c>
      <c r="F394" s="1602"/>
      <c r="G394" s="1602"/>
      <c r="H394" s="1602" t="s">
        <v>1468</v>
      </c>
      <c r="I394" s="1602"/>
      <c r="J394" s="1602"/>
      <c r="K394" s="1602" t="s">
        <v>1469</v>
      </c>
      <c r="L394" s="1602"/>
      <c r="M394" s="1602"/>
      <c r="N394" s="1602" t="s">
        <v>1470</v>
      </c>
      <c r="O394" s="1602"/>
      <c r="P394" s="1602"/>
      <c r="Q394" s="1605"/>
    </row>
    <row r="395" spans="1:254" s="146" customFormat="1" ht="50.1" customHeight="1">
      <c r="A395" s="1602"/>
      <c r="B395" s="1602"/>
      <c r="C395" s="1605"/>
      <c r="D395" s="1609"/>
      <c r="E395" s="214" t="s">
        <v>1471</v>
      </c>
      <c r="F395" s="214" t="s">
        <v>1472</v>
      </c>
      <c r="G395" s="214" t="s">
        <v>1473</v>
      </c>
      <c r="H395" s="214" t="s">
        <v>1474</v>
      </c>
      <c r="I395" s="214" t="s">
        <v>1475</v>
      </c>
      <c r="J395" s="214" t="s">
        <v>1476</v>
      </c>
      <c r="K395" s="214" t="s">
        <v>1477</v>
      </c>
      <c r="L395" s="214" t="s">
        <v>1478</v>
      </c>
      <c r="M395" s="214" t="s">
        <v>1479</v>
      </c>
      <c r="N395" s="214" t="s">
        <v>1480</v>
      </c>
      <c r="O395" s="214" t="s">
        <v>1481</v>
      </c>
      <c r="P395" s="214" t="s">
        <v>4522</v>
      </c>
      <c r="Q395" s="1624"/>
      <c r="R395" s="1480"/>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c r="AR395" s="182"/>
      <c r="AS395" s="182"/>
      <c r="AT395" s="182"/>
      <c r="AU395" s="182"/>
      <c r="AV395" s="182"/>
      <c r="AW395" s="182"/>
      <c r="AX395" s="182"/>
      <c r="AY395" s="182"/>
      <c r="AZ395" s="182"/>
      <c r="BA395" s="182"/>
      <c r="BB395" s="182"/>
      <c r="BC395" s="182"/>
      <c r="BD395" s="182"/>
      <c r="BE395" s="182"/>
      <c r="BF395" s="182"/>
      <c r="BG395" s="182"/>
      <c r="BH395" s="182"/>
      <c r="BI395" s="182"/>
      <c r="BJ395" s="182"/>
      <c r="BK395" s="182"/>
      <c r="BL395" s="182"/>
      <c r="BM395" s="182"/>
      <c r="BN395" s="182"/>
      <c r="BO395" s="182"/>
      <c r="BP395" s="182"/>
      <c r="BQ395" s="182"/>
      <c r="BR395" s="182"/>
      <c r="BS395" s="182"/>
      <c r="BT395" s="182"/>
      <c r="BU395" s="182"/>
      <c r="BV395" s="182"/>
      <c r="BW395" s="182"/>
      <c r="BX395" s="182"/>
      <c r="BY395" s="182"/>
      <c r="BZ395" s="182"/>
      <c r="CA395" s="182"/>
      <c r="CB395" s="182"/>
      <c r="CC395" s="182"/>
      <c r="CD395" s="182"/>
      <c r="CE395" s="182"/>
      <c r="CF395" s="182"/>
      <c r="CG395" s="182"/>
      <c r="CH395" s="182"/>
      <c r="CI395" s="182"/>
      <c r="CJ395" s="182"/>
      <c r="CK395" s="182"/>
      <c r="CL395" s="182"/>
      <c r="CM395" s="182"/>
      <c r="CN395" s="182"/>
      <c r="CO395" s="182"/>
      <c r="CP395" s="182"/>
      <c r="CQ395" s="182"/>
      <c r="CR395" s="182"/>
      <c r="CS395" s="182"/>
      <c r="CT395" s="182"/>
      <c r="CU395" s="182"/>
      <c r="CV395" s="182"/>
      <c r="CW395" s="182"/>
      <c r="CX395" s="182"/>
      <c r="CY395" s="182"/>
      <c r="CZ395" s="182"/>
      <c r="DA395" s="182"/>
      <c r="DB395" s="182"/>
      <c r="DC395" s="182"/>
      <c r="DD395" s="182"/>
      <c r="DE395" s="182"/>
      <c r="DF395" s="182"/>
      <c r="DG395" s="182"/>
      <c r="DH395" s="182"/>
      <c r="DI395" s="182"/>
      <c r="DJ395" s="182"/>
      <c r="DK395" s="182"/>
      <c r="DL395" s="182"/>
      <c r="DM395" s="182"/>
      <c r="DN395" s="182"/>
      <c r="DO395" s="182"/>
      <c r="DP395" s="182"/>
      <c r="DQ395" s="182"/>
      <c r="DR395" s="182"/>
      <c r="DS395" s="182"/>
      <c r="DT395" s="182"/>
      <c r="DU395" s="182"/>
      <c r="DV395" s="182"/>
      <c r="DW395" s="182"/>
      <c r="DX395" s="182"/>
      <c r="DY395" s="182"/>
      <c r="DZ395" s="182"/>
      <c r="EA395" s="182"/>
      <c r="EB395" s="182"/>
      <c r="EC395" s="182"/>
      <c r="ED395" s="182"/>
      <c r="EE395" s="182"/>
      <c r="EF395" s="182"/>
      <c r="EG395" s="182"/>
      <c r="EH395" s="182"/>
      <c r="EI395" s="182"/>
      <c r="EJ395" s="182"/>
      <c r="EK395" s="182"/>
      <c r="EL395" s="182"/>
      <c r="EM395" s="182"/>
      <c r="EN395" s="182"/>
      <c r="EO395" s="182"/>
      <c r="EP395" s="182"/>
      <c r="EQ395" s="182"/>
      <c r="ER395" s="182"/>
      <c r="ES395" s="182"/>
      <c r="ET395" s="182"/>
      <c r="EU395" s="182"/>
      <c r="EV395" s="182"/>
      <c r="EW395" s="182"/>
      <c r="EX395" s="182"/>
      <c r="EY395" s="182"/>
      <c r="EZ395" s="182"/>
      <c r="FA395" s="182"/>
      <c r="FB395" s="182"/>
      <c r="FC395" s="182"/>
      <c r="FD395" s="182"/>
      <c r="FE395" s="182"/>
      <c r="FF395" s="182"/>
      <c r="FG395" s="182"/>
      <c r="FH395" s="182"/>
      <c r="FI395" s="182"/>
      <c r="FJ395" s="182"/>
      <c r="FK395" s="182"/>
      <c r="FL395" s="182"/>
      <c r="FM395" s="182"/>
      <c r="FN395" s="182"/>
      <c r="FO395" s="182"/>
      <c r="FP395" s="182"/>
      <c r="FQ395" s="182"/>
      <c r="FR395" s="182"/>
      <c r="FS395" s="182"/>
      <c r="FT395" s="182"/>
      <c r="FU395" s="182"/>
      <c r="FV395" s="182"/>
      <c r="FW395" s="182"/>
      <c r="FX395" s="182"/>
      <c r="FY395" s="182"/>
      <c r="FZ395" s="182"/>
      <c r="GA395" s="182"/>
      <c r="GB395" s="182"/>
      <c r="GC395" s="182"/>
      <c r="GD395" s="182"/>
      <c r="GE395" s="182"/>
      <c r="GF395" s="182"/>
      <c r="GG395" s="182"/>
      <c r="GH395" s="182"/>
      <c r="GI395" s="182"/>
      <c r="GJ395" s="182"/>
      <c r="GK395" s="182"/>
      <c r="GL395" s="182"/>
      <c r="GM395" s="182"/>
      <c r="GN395" s="182"/>
      <c r="GO395" s="182"/>
      <c r="GP395" s="182"/>
      <c r="GQ395" s="182"/>
      <c r="GR395" s="182"/>
      <c r="GS395" s="182"/>
      <c r="GT395" s="182"/>
      <c r="GU395" s="182"/>
      <c r="GV395" s="182"/>
      <c r="GW395" s="182"/>
      <c r="GX395" s="182"/>
      <c r="GY395" s="182"/>
      <c r="GZ395" s="182"/>
      <c r="HA395" s="182"/>
      <c r="HB395" s="182"/>
      <c r="HC395" s="182"/>
      <c r="HD395" s="182"/>
      <c r="HE395" s="182"/>
      <c r="HF395" s="182"/>
      <c r="HG395" s="182"/>
      <c r="HH395" s="182"/>
      <c r="HI395" s="182"/>
      <c r="HJ395" s="182"/>
      <c r="HK395" s="182"/>
      <c r="HL395" s="182"/>
      <c r="HM395" s="182"/>
      <c r="HN395" s="182"/>
      <c r="HO395" s="182"/>
      <c r="HP395" s="182"/>
      <c r="HQ395" s="182"/>
      <c r="HR395" s="182"/>
      <c r="HS395" s="182"/>
      <c r="HT395" s="182"/>
      <c r="HU395" s="182"/>
      <c r="HV395" s="182"/>
      <c r="HW395" s="182"/>
      <c r="HX395" s="182"/>
      <c r="HY395" s="182"/>
      <c r="HZ395" s="182"/>
      <c r="IA395" s="182"/>
      <c r="IB395" s="182"/>
      <c r="IC395" s="182"/>
      <c r="ID395" s="182"/>
      <c r="IE395" s="182"/>
      <c r="IF395" s="182"/>
      <c r="IG395" s="182"/>
      <c r="IH395" s="182"/>
      <c r="II395" s="182"/>
      <c r="IJ395" s="182"/>
      <c r="IK395" s="182"/>
      <c r="IL395" s="182"/>
      <c r="IM395" s="182"/>
      <c r="IN395" s="182"/>
      <c r="IO395" s="182"/>
      <c r="IP395" s="182"/>
      <c r="IQ395" s="182"/>
      <c r="IR395" s="182"/>
      <c r="IS395" s="182"/>
      <c r="IT395" s="182"/>
    </row>
    <row r="396" spans="1:254" s="221" customFormat="1" ht="18" customHeight="1">
      <c r="A396" s="1616">
        <v>1</v>
      </c>
      <c r="B396" s="1616"/>
      <c r="C396" s="220">
        <v>2</v>
      </c>
      <c r="D396" s="220">
        <v>3</v>
      </c>
      <c r="E396" s="220">
        <v>4</v>
      </c>
      <c r="F396" s="220">
        <v>5</v>
      </c>
      <c r="G396" s="220">
        <v>6</v>
      </c>
      <c r="H396" s="220">
        <v>7</v>
      </c>
      <c r="I396" s="220">
        <v>8</v>
      </c>
      <c r="J396" s="220">
        <v>9</v>
      </c>
      <c r="K396" s="220">
        <v>10</v>
      </c>
      <c r="L396" s="220">
        <v>11</v>
      </c>
      <c r="M396" s="220">
        <v>12</v>
      </c>
      <c r="N396" s="220">
        <v>13</v>
      </c>
      <c r="O396" s="220">
        <v>14</v>
      </c>
      <c r="P396" s="220">
        <v>15</v>
      </c>
      <c r="Q396" s="1473">
        <v>16</v>
      </c>
      <c r="R396" s="1481"/>
      <c r="S396" s="1476"/>
      <c r="T396" s="1476"/>
      <c r="U396" s="1476"/>
      <c r="V396" s="1476"/>
      <c r="W396" s="1476"/>
      <c r="X396" s="1476"/>
      <c r="Y396" s="1476"/>
      <c r="Z396" s="1476"/>
      <c r="AA396" s="1476"/>
      <c r="AB396" s="1476"/>
      <c r="AC396" s="1476"/>
      <c r="AD396" s="1476"/>
      <c r="AE396" s="1476"/>
      <c r="AF396" s="1476"/>
      <c r="AG396" s="1476"/>
      <c r="AH396" s="1476"/>
      <c r="AI396" s="1476"/>
      <c r="AJ396" s="1476"/>
      <c r="AK396" s="1476"/>
      <c r="AL396" s="1476"/>
      <c r="AM396" s="1476"/>
      <c r="AN396" s="1476"/>
      <c r="AO396" s="1476"/>
      <c r="AP396" s="1476"/>
      <c r="AQ396" s="1476"/>
      <c r="AR396" s="1476"/>
      <c r="AS396" s="1476"/>
      <c r="AT396" s="1476"/>
      <c r="AU396" s="1476"/>
      <c r="AV396" s="1476"/>
      <c r="AW396" s="1476"/>
      <c r="AX396" s="1476"/>
      <c r="AY396" s="1476"/>
      <c r="AZ396" s="1476"/>
      <c r="BA396" s="1476"/>
      <c r="BB396" s="1476"/>
      <c r="BC396" s="1476"/>
      <c r="BD396" s="1476"/>
      <c r="BE396" s="1476"/>
      <c r="BF396" s="1476"/>
      <c r="BG396" s="1476"/>
      <c r="BH396" s="1476"/>
      <c r="BI396" s="1476"/>
      <c r="BJ396" s="1476"/>
      <c r="BK396" s="1476"/>
      <c r="BL396" s="1476"/>
      <c r="BM396" s="1476"/>
      <c r="BN396" s="1476"/>
      <c r="BO396" s="1476"/>
      <c r="BP396" s="1476"/>
      <c r="BQ396" s="1476"/>
      <c r="BR396" s="1476"/>
      <c r="BS396" s="1476"/>
      <c r="BT396" s="1476"/>
      <c r="BU396" s="1476"/>
      <c r="BV396" s="1476"/>
      <c r="BW396" s="1476"/>
      <c r="BX396" s="1476"/>
      <c r="BY396" s="1476"/>
      <c r="BZ396" s="1476"/>
      <c r="CA396" s="1476"/>
      <c r="CB396" s="1476"/>
      <c r="CC396" s="1476"/>
      <c r="CD396" s="1476"/>
      <c r="CE396" s="1476"/>
      <c r="CF396" s="1476"/>
      <c r="CG396" s="1476"/>
      <c r="CH396" s="1476"/>
      <c r="CI396" s="1476"/>
      <c r="CJ396" s="1476"/>
      <c r="CK396" s="1476"/>
      <c r="CL396" s="1476"/>
      <c r="CM396" s="1476"/>
      <c r="CN396" s="1476"/>
      <c r="CO396" s="1476"/>
      <c r="CP396" s="1476"/>
      <c r="CQ396" s="1476"/>
      <c r="CR396" s="1476"/>
      <c r="CS396" s="1476"/>
      <c r="CT396" s="1476"/>
      <c r="CU396" s="1476"/>
      <c r="CV396" s="1476"/>
      <c r="CW396" s="1476"/>
      <c r="CX396" s="1476"/>
      <c r="CY396" s="1476"/>
      <c r="CZ396" s="1476"/>
      <c r="DA396" s="1476"/>
      <c r="DB396" s="1476"/>
      <c r="DC396" s="1476"/>
      <c r="DD396" s="1476"/>
      <c r="DE396" s="1476"/>
      <c r="DF396" s="1476"/>
      <c r="DG396" s="1476"/>
      <c r="DH396" s="1476"/>
      <c r="DI396" s="1476"/>
      <c r="DJ396" s="1476"/>
      <c r="DK396" s="1476"/>
      <c r="DL396" s="1476"/>
      <c r="DM396" s="1476"/>
      <c r="DN396" s="1476"/>
      <c r="DO396" s="1476"/>
      <c r="DP396" s="1476"/>
      <c r="DQ396" s="1476"/>
      <c r="DR396" s="1476"/>
      <c r="DS396" s="1476"/>
      <c r="DT396" s="1476"/>
      <c r="DU396" s="1476"/>
      <c r="DV396" s="1476"/>
      <c r="DW396" s="1476"/>
      <c r="DX396" s="1476"/>
      <c r="DY396" s="1476"/>
      <c r="DZ396" s="1476"/>
      <c r="EA396" s="1476"/>
      <c r="EB396" s="1476"/>
      <c r="EC396" s="1476"/>
      <c r="ED396" s="1476"/>
      <c r="EE396" s="1476"/>
      <c r="EF396" s="1476"/>
      <c r="EG396" s="1476"/>
      <c r="EH396" s="1476"/>
      <c r="EI396" s="1476"/>
      <c r="EJ396" s="1476"/>
      <c r="EK396" s="1476"/>
      <c r="EL396" s="1476"/>
      <c r="EM396" s="1476"/>
      <c r="EN396" s="1476"/>
      <c r="EO396" s="1476"/>
      <c r="EP396" s="1476"/>
      <c r="EQ396" s="1476"/>
      <c r="ER396" s="1476"/>
      <c r="ES396" s="1476"/>
      <c r="ET396" s="1476"/>
      <c r="EU396" s="1476"/>
      <c r="EV396" s="1476"/>
      <c r="EW396" s="1476"/>
      <c r="EX396" s="1476"/>
      <c r="EY396" s="1476"/>
      <c r="EZ396" s="1476"/>
      <c r="FA396" s="1476"/>
      <c r="FB396" s="1476"/>
      <c r="FC396" s="1476"/>
      <c r="FD396" s="1476"/>
      <c r="FE396" s="1476"/>
      <c r="FF396" s="1476"/>
      <c r="FG396" s="1476"/>
      <c r="FH396" s="1476"/>
      <c r="FI396" s="1476"/>
      <c r="FJ396" s="1476"/>
      <c r="FK396" s="1476"/>
      <c r="FL396" s="1476"/>
      <c r="FM396" s="1476"/>
      <c r="FN396" s="1476"/>
      <c r="FO396" s="1476"/>
      <c r="FP396" s="1476"/>
      <c r="FQ396" s="1476"/>
      <c r="FR396" s="1476"/>
      <c r="FS396" s="1476"/>
      <c r="FT396" s="1476"/>
      <c r="FU396" s="1476"/>
      <c r="FV396" s="1476"/>
      <c r="FW396" s="1476"/>
      <c r="FX396" s="1476"/>
      <c r="FY396" s="1476"/>
      <c r="FZ396" s="1476"/>
      <c r="GA396" s="1476"/>
      <c r="GB396" s="1476"/>
      <c r="GC396" s="1476"/>
      <c r="GD396" s="1476"/>
      <c r="GE396" s="1476"/>
      <c r="GF396" s="1476"/>
      <c r="GG396" s="1476"/>
      <c r="GH396" s="1476"/>
      <c r="GI396" s="1476"/>
      <c r="GJ396" s="1476"/>
      <c r="GK396" s="1476"/>
      <c r="GL396" s="1476"/>
      <c r="GM396" s="1476"/>
      <c r="GN396" s="1476"/>
      <c r="GO396" s="1476"/>
      <c r="GP396" s="1476"/>
      <c r="GQ396" s="1476"/>
      <c r="GR396" s="1476"/>
      <c r="GS396" s="1476"/>
      <c r="GT396" s="1476"/>
      <c r="GU396" s="1476"/>
      <c r="GV396" s="1476"/>
      <c r="GW396" s="1476"/>
      <c r="GX396" s="1476"/>
      <c r="GY396" s="1476"/>
      <c r="GZ396" s="1476"/>
      <c r="HA396" s="1476"/>
      <c r="HB396" s="1476"/>
      <c r="HC396" s="1476"/>
      <c r="HD396" s="1476"/>
      <c r="HE396" s="1476"/>
      <c r="HF396" s="1476"/>
      <c r="HG396" s="1476"/>
      <c r="HH396" s="1476"/>
      <c r="HI396" s="1476"/>
      <c r="HJ396" s="1476"/>
      <c r="HK396" s="1476"/>
      <c r="HL396" s="1476"/>
      <c r="HM396" s="1476"/>
      <c r="HN396" s="1476"/>
      <c r="HO396" s="1476"/>
      <c r="HP396" s="1476"/>
      <c r="HQ396" s="1476"/>
      <c r="HR396" s="1476"/>
      <c r="HS396" s="1476"/>
      <c r="HT396" s="1476"/>
      <c r="HU396" s="1476"/>
      <c r="HV396" s="1476"/>
      <c r="HW396" s="1476"/>
      <c r="HX396" s="1476"/>
      <c r="HY396" s="1476"/>
      <c r="HZ396" s="1476"/>
      <c r="IA396" s="1476"/>
      <c r="IB396" s="1476"/>
      <c r="IC396" s="1476"/>
      <c r="ID396" s="1476"/>
      <c r="IE396" s="1476"/>
      <c r="IF396" s="1476"/>
      <c r="IG396" s="1476"/>
      <c r="IH396" s="1476"/>
      <c r="II396" s="1476"/>
      <c r="IJ396" s="1476"/>
      <c r="IK396" s="1476"/>
      <c r="IL396" s="1476"/>
      <c r="IM396" s="1476"/>
      <c r="IN396" s="1476"/>
      <c r="IO396" s="1476"/>
      <c r="IP396" s="1476"/>
      <c r="IQ396" s="1476"/>
      <c r="IR396" s="1476"/>
      <c r="IS396" s="1476"/>
      <c r="IT396" s="1476"/>
    </row>
    <row r="397" spans="1:254" s="146" customFormat="1" ht="54.95" customHeight="1">
      <c r="A397" s="1606" t="s">
        <v>4854</v>
      </c>
      <c r="B397" s="1606"/>
      <c r="C397" s="1606"/>
      <c r="D397" s="1606"/>
      <c r="E397" s="215">
        <f>E399+E400+E401+E402+E403+E404+E405+E406+E407</f>
        <v>64.375284946236548</v>
      </c>
      <c r="F397" s="215">
        <f t="shared" ref="F397:P397" si="31">F399+F400+F401+F402+F403+F404+F405+F406+F407</f>
        <v>70.928178571428575</v>
      </c>
      <c r="G397" s="215">
        <f t="shared" si="31"/>
        <v>76.298748655913982</v>
      </c>
      <c r="H397" s="215">
        <f t="shared" si="31"/>
        <v>66.98189305555556</v>
      </c>
      <c r="I397" s="215">
        <f t="shared" si="31"/>
        <v>68.855244623655921</v>
      </c>
      <c r="J397" s="215">
        <f t="shared" si="31"/>
        <v>66.418263888888887</v>
      </c>
      <c r="K397" s="215">
        <f t="shared" si="31"/>
        <v>74.288001344086027</v>
      </c>
      <c r="L397" s="215">
        <f t="shared" si="31"/>
        <v>80.619778225806442</v>
      </c>
      <c r="M397" s="215">
        <f t="shared" si="31"/>
        <v>51.353901388888886</v>
      </c>
      <c r="N397" s="215">
        <f t="shared" si="31"/>
        <v>66.979284946236561</v>
      </c>
      <c r="O397" s="215">
        <f t="shared" si="31"/>
        <v>66.480781944444445</v>
      </c>
      <c r="P397" s="215">
        <f t="shared" si="31"/>
        <v>71.015206989247304</v>
      </c>
      <c r="Q397" s="1474">
        <f>SUM(E397:P397)/12</f>
        <v>68.716214048365757</v>
      </c>
      <c r="R397" s="1480"/>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c r="AR397" s="182"/>
      <c r="AS397" s="182"/>
      <c r="AT397" s="182"/>
      <c r="AU397" s="182"/>
      <c r="AV397" s="182"/>
      <c r="AW397" s="182"/>
      <c r="AX397" s="182"/>
      <c r="AY397" s="182"/>
      <c r="AZ397" s="182"/>
      <c r="BA397" s="182"/>
      <c r="BB397" s="182"/>
      <c r="BC397" s="182"/>
      <c r="BD397" s="182"/>
      <c r="BE397" s="182"/>
      <c r="BF397" s="182"/>
      <c r="BG397" s="182"/>
      <c r="BH397" s="182"/>
      <c r="BI397" s="182"/>
      <c r="BJ397" s="182"/>
      <c r="BK397" s="182"/>
      <c r="BL397" s="182"/>
      <c r="BM397" s="182"/>
      <c r="BN397" s="182"/>
      <c r="BO397" s="182"/>
      <c r="BP397" s="182"/>
      <c r="BQ397" s="182"/>
      <c r="BR397" s="182"/>
      <c r="BS397" s="182"/>
      <c r="BT397" s="182"/>
      <c r="BU397" s="182"/>
      <c r="BV397" s="182"/>
      <c r="BW397" s="182"/>
      <c r="BX397" s="182"/>
      <c r="BY397" s="182"/>
      <c r="BZ397" s="182"/>
      <c r="CA397" s="182"/>
      <c r="CB397" s="182"/>
      <c r="CC397" s="182"/>
      <c r="CD397" s="182"/>
      <c r="CE397" s="182"/>
      <c r="CF397" s="182"/>
      <c r="CG397" s="182"/>
      <c r="CH397" s="182"/>
      <c r="CI397" s="182"/>
      <c r="CJ397" s="182"/>
      <c r="CK397" s="182"/>
      <c r="CL397" s="182"/>
      <c r="CM397" s="182"/>
      <c r="CN397" s="182"/>
      <c r="CO397" s="182"/>
      <c r="CP397" s="182"/>
      <c r="CQ397" s="182"/>
      <c r="CR397" s="182"/>
      <c r="CS397" s="182"/>
      <c r="CT397" s="182"/>
      <c r="CU397" s="182"/>
      <c r="CV397" s="182"/>
      <c r="CW397" s="182"/>
      <c r="CX397" s="182"/>
      <c r="CY397" s="182"/>
      <c r="CZ397" s="182"/>
      <c r="DA397" s="182"/>
      <c r="DB397" s="182"/>
      <c r="DC397" s="182"/>
      <c r="DD397" s="182"/>
      <c r="DE397" s="182"/>
      <c r="DF397" s="182"/>
      <c r="DG397" s="182"/>
      <c r="DH397" s="182"/>
      <c r="DI397" s="182"/>
      <c r="DJ397" s="182"/>
      <c r="DK397" s="182"/>
      <c r="DL397" s="182"/>
      <c r="DM397" s="182"/>
      <c r="DN397" s="182"/>
      <c r="DO397" s="182"/>
      <c r="DP397" s="182"/>
      <c r="DQ397" s="182"/>
      <c r="DR397" s="182"/>
      <c r="DS397" s="182"/>
      <c r="DT397" s="182"/>
      <c r="DU397" s="182"/>
      <c r="DV397" s="182"/>
      <c r="DW397" s="182"/>
      <c r="DX397" s="182"/>
      <c r="DY397" s="182"/>
      <c r="DZ397" s="182"/>
      <c r="EA397" s="182"/>
      <c r="EB397" s="182"/>
      <c r="EC397" s="182"/>
      <c r="ED397" s="182"/>
      <c r="EE397" s="182"/>
      <c r="EF397" s="182"/>
      <c r="EG397" s="182"/>
      <c r="EH397" s="182"/>
      <c r="EI397" s="182"/>
      <c r="EJ397" s="182"/>
      <c r="EK397" s="182"/>
      <c r="EL397" s="182"/>
      <c r="EM397" s="182"/>
      <c r="EN397" s="182"/>
      <c r="EO397" s="182"/>
      <c r="EP397" s="182"/>
      <c r="EQ397" s="182"/>
      <c r="ER397" s="182"/>
      <c r="ES397" s="182"/>
      <c r="ET397" s="182"/>
      <c r="EU397" s="182"/>
      <c r="EV397" s="182"/>
      <c r="EW397" s="182"/>
      <c r="EX397" s="182"/>
      <c r="EY397" s="182"/>
      <c r="EZ397" s="182"/>
      <c r="FA397" s="182"/>
      <c r="FB397" s="182"/>
      <c r="FC397" s="182"/>
      <c r="FD397" s="182"/>
      <c r="FE397" s="182"/>
      <c r="FF397" s="182"/>
      <c r="FG397" s="182"/>
      <c r="FH397" s="182"/>
      <c r="FI397" s="182"/>
      <c r="FJ397" s="182"/>
      <c r="FK397" s="182"/>
      <c r="FL397" s="182"/>
      <c r="FM397" s="182"/>
      <c r="FN397" s="182"/>
      <c r="FO397" s="182"/>
      <c r="FP397" s="182"/>
      <c r="FQ397" s="182"/>
      <c r="FR397" s="182"/>
      <c r="FS397" s="182"/>
      <c r="FT397" s="182"/>
      <c r="FU397" s="182"/>
      <c r="FV397" s="182"/>
      <c r="FW397" s="182"/>
      <c r="FX397" s="182"/>
      <c r="FY397" s="182"/>
      <c r="FZ397" s="182"/>
      <c r="GA397" s="182"/>
      <c r="GB397" s="182"/>
      <c r="GC397" s="182"/>
      <c r="GD397" s="182"/>
      <c r="GE397" s="182"/>
      <c r="GF397" s="182"/>
      <c r="GG397" s="182"/>
      <c r="GH397" s="182"/>
      <c r="GI397" s="182"/>
      <c r="GJ397" s="182"/>
      <c r="GK397" s="182"/>
      <c r="GL397" s="182"/>
      <c r="GM397" s="182"/>
      <c r="GN397" s="182"/>
      <c r="GO397" s="182"/>
      <c r="GP397" s="182"/>
      <c r="GQ397" s="182"/>
      <c r="GR397" s="182"/>
      <c r="GS397" s="182"/>
      <c r="GT397" s="182"/>
      <c r="GU397" s="182"/>
      <c r="GV397" s="182"/>
      <c r="GW397" s="182"/>
      <c r="GX397" s="182"/>
      <c r="GY397" s="182"/>
      <c r="GZ397" s="182"/>
      <c r="HA397" s="182"/>
      <c r="HB397" s="182"/>
      <c r="HC397" s="182"/>
      <c r="HD397" s="182"/>
      <c r="HE397" s="182"/>
      <c r="HF397" s="182"/>
      <c r="HG397" s="182"/>
      <c r="HH397" s="182"/>
      <c r="HI397" s="182"/>
      <c r="HJ397" s="182"/>
      <c r="HK397" s="182"/>
      <c r="HL397" s="182"/>
      <c r="HM397" s="182"/>
      <c r="HN397" s="182"/>
      <c r="HO397" s="182"/>
      <c r="HP397" s="182"/>
      <c r="HQ397" s="182"/>
      <c r="HR397" s="182"/>
      <c r="HS397" s="182"/>
      <c r="HT397" s="182"/>
      <c r="HU397" s="182"/>
      <c r="HV397" s="182"/>
      <c r="HW397" s="182"/>
      <c r="HX397" s="182"/>
      <c r="HY397" s="182"/>
      <c r="HZ397" s="182"/>
      <c r="IA397" s="182"/>
      <c r="IB397" s="182"/>
      <c r="IC397" s="182"/>
      <c r="ID397" s="182"/>
      <c r="IE397" s="182"/>
      <c r="IF397" s="182"/>
      <c r="IG397" s="182"/>
      <c r="IH397" s="182"/>
      <c r="II397" s="182"/>
      <c r="IJ397" s="182"/>
      <c r="IK397" s="182"/>
      <c r="IL397" s="182"/>
      <c r="IM397" s="182"/>
      <c r="IN397" s="182"/>
      <c r="IO397" s="182"/>
      <c r="IP397" s="182"/>
      <c r="IQ397" s="182"/>
      <c r="IR397" s="182"/>
      <c r="IS397" s="182"/>
      <c r="IT397" s="182"/>
    </row>
    <row r="398" spans="1:254" s="222" customFormat="1" ht="29.25" customHeight="1">
      <c r="A398" s="222" t="s">
        <v>4837</v>
      </c>
      <c r="E398" s="223"/>
      <c r="F398" s="223"/>
      <c r="G398" s="223"/>
      <c r="H398" s="223"/>
      <c r="I398" s="223"/>
      <c r="J398" s="223"/>
      <c r="K398" s="223"/>
      <c r="L398" s="223"/>
      <c r="M398" s="223"/>
      <c r="Q398" s="1471"/>
      <c r="R398" s="1482"/>
      <c r="S398" s="1477"/>
      <c r="T398" s="1477"/>
      <c r="U398" s="1477"/>
      <c r="V398" s="1477"/>
      <c r="W398" s="1477"/>
      <c r="X398" s="1477"/>
      <c r="Y398" s="1477"/>
      <c r="Z398" s="1477"/>
      <c r="AA398" s="1477"/>
      <c r="AB398" s="1477"/>
      <c r="AC398" s="1477"/>
      <c r="AD398" s="1477"/>
      <c r="AE398" s="1477"/>
      <c r="AF398" s="1477"/>
      <c r="AG398" s="1477"/>
      <c r="AH398" s="1477"/>
      <c r="AI398" s="1477"/>
      <c r="AJ398" s="1477"/>
      <c r="AK398" s="1477"/>
      <c r="AL398" s="1477"/>
      <c r="AM398" s="1477"/>
      <c r="AN398" s="1477"/>
      <c r="AO398" s="1477"/>
      <c r="AP398" s="1477"/>
      <c r="AQ398" s="1477"/>
      <c r="AR398" s="1477"/>
      <c r="AS398" s="1477"/>
      <c r="AT398" s="1477"/>
      <c r="AU398" s="1477"/>
      <c r="AV398" s="1477"/>
      <c r="AW398" s="1477"/>
      <c r="AX398" s="1477"/>
      <c r="AY398" s="1477"/>
      <c r="AZ398" s="1477"/>
      <c r="BA398" s="1477"/>
      <c r="BB398" s="1477"/>
      <c r="BC398" s="1477"/>
      <c r="BD398" s="1477"/>
      <c r="BE398" s="1477"/>
      <c r="BF398" s="1477"/>
      <c r="BG398" s="1477"/>
      <c r="BH398" s="1477"/>
      <c r="BI398" s="1477"/>
      <c r="BJ398" s="1477"/>
      <c r="BK398" s="1477"/>
      <c r="BL398" s="1477"/>
      <c r="BM398" s="1477"/>
      <c r="BN398" s="1477"/>
      <c r="BO398" s="1477"/>
      <c r="BP398" s="1477"/>
      <c r="BQ398" s="1477"/>
      <c r="BR398" s="1477"/>
      <c r="BS398" s="1477"/>
      <c r="BT398" s="1477"/>
      <c r="BU398" s="1477"/>
      <c r="BV398" s="1477"/>
      <c r="BW398" s="1477"/>
      <c r="BX398" s="1477"/>
      <c r="BY398" s="1477"/>
      <c r="BZ398" s="1477"/>
      <c r="CA398" s="1477"/>
      <c r="CB398" s="1477"/>
      <c r="CC398" s="1477"/>
      <c r="CD398" s="1477"/>
      <c r="CE398" s="1477"/>
      <c r="CF398" s="1477"/>
      <c r="CG398" s="1477"/>
      <c r="CH398" s="1477"/>
      <c r="CI398" s="1477"/>
      <c r="CJ398" s="1477"/>
      <c r="CK398" s="1477"/>
      <c r="CL398" s="1477"/>
      <c r="CM398" s="1477"/>
      <c r="CN398" s="1477"/>
      <c r="CO398" s="1477"/>
      <c r="CP398" s="1477"/>
      <c r="CQ398" s="1477"/>
      <c r="CR398" s="1477"/>
      <c r="CS398" s="1477"/>
      <c r="CT398" s="1477"/>
      <c r="CU398" s="1477"/>
      <c r="CV398" s="1477"/>
      <c r="CW398" s="1477"/>
      <c r="CX398" s="1477"/>
      <c r="CY398" s="1477"/>
      <c r="CZ398" s="1477"/>
      <c r="DA398" s="1477"/>
      <c r="DB398" s="1477"/>
      <c r="DC398" s="1477"/>
      <c r="DD398" s="1477"/>
      <c r="DE398" s="1477"/>
      <c r="DF398" s="1477"/>
      <c r="DG398" s="1477"/>
      <c r="DH398" s="1477"/>
      <c r="DI398" s="1477"/>
      <c r="DJ398" s="1477"/>
      <c r="DK398" s="1477"/>
      <c r="DL398" s="1477"/>
      <c r="DM398" s="1477"/>
      <c r="DN398" s="1477"/>
      <c r="DO398" s="1477"/>
      <c r="DP398" s="1477"/>
      <c r="DQ398" s="1477"/>
      <c r="DR398" s="1477"/>
      <c r="DS398" s="1477"/>
      <c r="DT398" s="1477"/>
      <c r="DU398" s="1477"/>
      <c r="DV398" s="1477"/>
      <c r="DW398" s="1477"/>
      <c r="DX398" s="1477"/>
      <c r="DY398" s="1477"/>
      <c r="DZ398" s="1477"/>
      <c r="EA398" s="1477"/>
      <c r="EB398" s="1477"/>
      <c r="EC398" s="1477"/>
      <c r="ED398" s="1477"/>
      <c r="EE398" s="1477"/>
      <c r="EF398" s="1477"/>
      <c r="EG398" s="1477"/>
      <c r="EH398" s="1477"/>
      <c r="EI398" s="1477"/>
      <c r="EJ398" s="1477"/>
      <c r="EK398" s="1477"/>
      <c r="EL398" s="1477"/>
      <c r="EM398" s="1477"/>
      <c r="EN398" s="1477"/>
      <c r="EO398" s="1477"/>
      <c r="EP398" s="1477"/>
      <c r="EQ398" s="1477"/>
      <c r="ER398" s="1477"/>
      <c r="ES398" s="1477"/>
      <c r="ET398" s="1477"/>
      <c r="EU398" s="1477"/>
      <c r="EV398" s="1477"/>
      <c r="EW398" s="1477"/>
      <c r="EX398" s="1477"/>
      <c r="EY398" s="1477"/>
      <c r="EZ398" s="1477"/>
      <c r="FA398" s="1477"/>
      <c r="FB398" s="1477"/>
      <c r="FC398" s="1477"/>
      <c r="FD398" s="1477"/>
      <c r="FE398" s="1477"/>
      <c r="FF398" s="1477"/>
      <c r="FG398" s="1477"/>
      <c r="FH398" s="1477"/>
      <c r="FI398" s="1477"/>
      <c r="FJ398" s="1477"/>
      <c r="FK398" s="1477"/>
      <c r="FL398" s="1477"/>
      <c r="FM398" s="1477"/>
      <c r="FN398" s="1477"/>
      <c r="FO398" s="1477"/>
      <c r="FP398" s="1477"/>
      <c r="FQ398" s="1477"/>
      <c r="FR398" s="1477"/>
      <c r="FS398" s="1477"/>
      <c r="FT398" s="1477"/>
      <c r="FU398" s="1477"/>
      <c r="FV398" s="1477"/>
      <c r="FW398" s="1477"/>
      <c r="FX398" s="1477"/>
      <c r="FY398" s="1477"/>
      <c r="FZ398" s="1477"/>
      <c r="GA398" s="1477"/>
      <c r="GB398" s="1477"/>
      <c r="GC398" s="1477"/>
      <c r="GD398" s="1477"/>
      <c r="GE398" s="1477"/>
      <c r="GF398" s="1477"/>
      <c r="GG398" s="1477"/>
      <c r="GH398" s="1477"/>
      <c r="GI398" s="1477"/>
      <c r="GJ398" s="1477"/>
      <c r="GK398" s="1477"/>
      <c r="GL398" s="1477"/>
      <c r="GM398" s="1477"/>
      <c r="GN398" s="1477"/>
      <c r="GO398" s="1477"/>
      <c r="GP398" s="1477"/>
      <c r="GQ398" s="1477"/>
      <c r="GR398" s="1477"/>
      <c r="GS398" s="1477"/>
      <c r="GT398" s="1477"/>
      <c r="GU398" s="1477"/>
      <c r="GV398" s="1477"/>
      <c r="GW398" s="1477"/>
      <c r="GX398" s="1477"/>
      <c r="GY398" s="1477"/>
      <c r="GZ398" s="1477"/>
      <c r="HA398" s="1477"/>
      <c r="HB398" s="1477"/>
      <c r="HC398" s="1477"/>
      <c r="HD398" s="1477"/>
      <c r="HE398" s="1477"/>
      <c r="HF398" s="1477"/>
      <c r="HG398" s="1477"/>
      <c r="HH398" s="1477"/>
      <c r="HI398" s="1477"/>
      <c r="HJ398" s="1477"/>
      <c r="HK398" s="1477"/>
      <c r="HL398" s="1477"/>
      <c r="HM398" s="1477"/>
      <c r="HN398" s="1477"/>
      <c r="HO398" s="1477"/>
      <c r="HP398" s="1477"/>
      <c r="HQ398" s="1477"/>
      <c r="HR398" s="1477"/>
      <c r="HS398" s="1477"/>
      <c r="HT398" s="1477"/>
      <c r="HU398" s="1477"/>
      <c r="HV398" s="1477"/>
      <c r="HW398" s="1477"/>
      <c r="HX398" s="1477"/>
      <c r="HY398" s="1477"/>
      <c r="HZ398" s="1477"/>
      <c r="IA398" s="1477"/>
      <c r="IB398" s="1477"/>
      <c r="IC398" s="1477"/>
      <c r="ID398" s="1477"/>
      <c r="IE398" s="1477"/>
      <c r="IF398" s="1477"/>
      <c r="IG398" s="1477"/>
      <c r="IH398" s="1477"/>
      <c r="II398" s="1477"/>
      <c r="IJ398" s="1477"/>
      <c r="IK398" s="1477"/>
      <c r="IL398" s="1477"/>
      <c r="IM398" s="1477"/>
      <c r="IN398" s="1477"/>
      <c r="IO398" s="1477"/>
      <c r="IP398" s="1477"/>
      <c r="IQ398" s="1477"/>
      <c r="IR398" s="1477"/>
      <c r="IS398" s="1477"/>
      <c r="IT398" s="1477"/>
    </row>
    <row r="399" spans="1:254" s="183" customFormat="1" ht="50.1" customHeight="1">
      <c r="A399" s="148" t="s">
        <v>4846</v>
      </c>
      <c r="B399" s="1585" t="s">
        <v>4855</v>
      </c>
      <c r="C399" s="1585"/>
      <c r="D399" s="1585"/>
      <c r="E399" s="179">
        <f>E387/8/31</f>
        <v>0.81402822580645162</v>
      </c>
      <c r="F399" s="179">
        <f>F387/8/28</f>
        <v>3.3632232142857141</v>
      </c>
      <c r="G399" s="179">
        <f>G387/8/31</f>
        <v>4.5233749999999997</v>
      </c>
      <c r="H399" s="179">
        <f>H387/8/30</f>
        <v>7.914345833333333</v>
      </c>
      <c r="I399" s="179">
        <f>I387/8/31</f>
        <v>8.896403225806452</v>
      </c>
      <c r="J399" s="179">
        <f>J387/8/30</f>
        <v>9.6597166666666663</v>
      </c>
      <c r="K399" s="179">
        <f>K387/8/31</f>
        <v>9.5748185483870962</v>
      </c>
      <c r="L399" s="179">
        <f>L387/8/31</f>
        <v>8.9560282258064507</v>
      </c>
      <c r="M399" s="179">
        <f>M387/8/30</f>
        <v>1.1350499999999999</v>
      </c>
      <c r="N399" s="178">
        <f>N387/8/31</f>
        <v>8.6212016129032261</v>
      </c>
      <c r="O399" s="178">
        <f>O387/8/30</f>
        <v>5.9143833333333333</v>
      </c>
      <c r="P399" s="178">
        <f>P387/8/31</f>
        <v>1.2338709677419355</v>
      </c>
      <c r="Q399" s="1475">
        <f t="shared" ref="Q399:Q407" si="32">SUM(E399:P399)/12</f>
        <v>5.8838704045058883</v>
      </c>
      <c r="R399" s="1480"/>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c r="AR399" s="182"/>
      <c r="AS399" s="182"/>
      <c r="AT399" s="182"/>
      <c r="AU399" s="182"/>
      <c r="AV399" s="182"/>
      <c r="AW399" s="182"/>
      <c r="AX399" s="182"/>
      <c r="AY399" s="182"/>
      <c r="AZ399" s="182"/>
      <c r="BA399" s="182"/>
      <c r="BB399" s="182"/>
      <c r="BC399" s="182"/>
      <c r="BD399" s="182"/>
      <c r="BE399" s="182"/>
      <c r="BF399" s="182"/>
      <c r="BG399" s="182"/>
      <c r="BH399" s="182"/>
      <c r="BI399" s="182"/>
      <c r="BJ399" s="182"/>
      <c r="BK399" s="182"/>
      <c r="BL399" s="182"/>
      <c r="BM399" s="182"/>
      <c r="BN399" s="182"/>
      <c r="BO399" s="182"/>
      <c r="BP399" s="182"/>
      <c r="BQ399" s="182"/>
      <c r="BR399" s="182"/>
      <c r="BS399" s="182"/>
      <c r="BT399" s="182"/>
      <c r="BU399" s="182"/>
      <c r="BV399" s="182"/>
      <c r="BW399" s="182"/>
      <c r="BX399" s="182"/>
      <c r="BY399" s="182"/>
      <c r="BZ399" s="182"/>
      <c r="CA399" s="182"/>
      <c r="CB399" s="182"/>
      <c r="CC399" s="182"/>
      <c r="CD399" s="182"/>
      <c r="CE399" s="182"/>
      <c r="CF399" s="182"/>
      <c r="CG399" s="182"/>
      <c r="CH399" s="182"/>
      <c r="CI399" s="182"/>
      <c r="CJ399" s="182"/>
      <c r="CK399" s="182"/>
      <c r="CL399" s="182"/>
      <c r="CM399" s="182"/>
      <c r="CN399" s="182"/>
      <c r="CO399" s="182"/>
      <c r="CP399" s="182"/>
      <c r="CQ399" s="182"/>
      <c r="CR399" s="182"/>
      <c r="CS399" s="182"/>
      <c r="CT399" s="182"/>
      <c r="CU399" s="182"/>
      <c r="CV399" s="182"/>
      <c r="CW399" s="182"/>
      <c r="CX399" s="182"/>
      <c r="CY399" s="182"/>
      <c r="CZ399" s="182"/>
      <c r="DA399" s="182"/>
      <c r="DB399" s="182"/>
      <c r="DC399" s="182"/>
      <c r="DD399" s="182"/>
      <c r="DE399" s="182"/>
      <c r="DF399" s="182"/>
      <c r="DG399" s="182"/>
      <c r="DH399" s="182"/>
      <c r="DI399" s="182"/>
      <c r="DJ399" s="182"/>
      <c r="DK399" s="182"/>
      <c r="DL399" s="182"/>
      <c r="DM399" s="182"/>
      <c r="DN399" s="182"/>
      <c r="DO399" s="182"/>
      <c r="DP399" s="182"/>
      <c r="DQ399" s="182"/>
      <c r="DR399" s="182"/>
      <c r="DS399" s="182"/>
      <c r="DT399" s="182"/>
      <c r="DU399" s="182"/>
      <c r="DV399" s="182"/>
      <c r="DW399" s="182"/>
      <c r="DX399" s="182"/>
      <c r="DY399" s="182"/>
      <c r="DZ399" s="182"/>
      <c r="EA399" s="182"/>
      <c r="EB399" s="182"/>
      <c r="EC399" s="182"/>
      <c r="ED399" s="182"/>
      <c r="EE399" s="182"/>
      <c r="EF399" s="182"/>
      <c r="EG399" s="182"/>
      <c r="EH399" s="182"/>
      <c r="EI399" s="182"/>
      <c r="EJ399" s="182"/>
      <c r="EK399" s="182"/>
      <c r="EL399" s="182"/>
      <c r="EM399" s="182"/>
      <c r="EN399" s="182"/>
      <c r="EO399" s="182"/>
      <c r="EP399" s="182"/>
      <c r="EQ399" s="182"/>
      <c r="ER399" s="182"/>
      <c r="ES399" s="182"/>
      <c r="ET399" s="182"/>
      <c r="EU399" s="182"/>
      <c r="EV399" s="182"/>
      <c r="EW399" s="182"/>
      <c r="EX399" s="182"/>
      <c r="EY399" s="182"/>
      <c r="EZ399" s="182"/>
      <c r="FA399" s="182"/>
      <c r="FB399" s="182"/>
      <c r="FC399" s="182"/>
      <c r="FD399" s="182"/>
      <c r="FE399" s="182"/>
      <c r="FF399" s="182"/>
      <c r="FG399" s="182"/>
      <c r="FH399" s="182"/>
      <c r="FI399" s="182"/>
      <c r="FJ399" s="182"/>
      <c r="FK399" s="182"/>
      <c r="FL399" s="182"/>
      <c r="FM399" s="182"/>
      <c r="FN399" s="182"/>
      <c r="FO399" s="182"/>
      <c r="FP399" s="182"/>
      <c r="FQ399" s="182"/>
      <c r="FR399" s="182"/>
      <c r="FS399" s="182"/>
      <c r="FT399" s="182"/>
      <c r="FU399" s="182"/>
      <c r="FV399" s="182"/>
      <c r="FW399" s="182"/>
      <c r="FX399" s="182"/>
      <c r="FY399" s="182"/>
      <c r="FZ399" s="182"/>
      <c r="GA399" s="182"/>
      <c r="GB399" s="182"/>
      <c r="GC399" s="182"/>
      <c r="GD399" s="182"/>
      <c r="GE399" s="182"/>
      <c r="GF399" s="182"/>
      <c r="GG399" s="182"/>
      <c r="GH399" s="182"/>
      <c r="GI399" s="182"/>
      <c r="GJ399" s="182"/>
      <c r="GK399" s="182"/>
      <c r="GL399" s="182"/>
      <c r="GM399" s="182"/>
      <c r="GN399" s="182"/>
      <c r="GO399" s="182"/>
      <c r="GP399" s="182"/>
      <c r="GQ399" s="182"/>
      <c r="GR399" s="182"/>
      <c r="GS399" s="182"/>
      <c r="GT399" s="182"/>
      <c r="GU399" s="182"/>
      <c r="GV399" s="182"/>
      <c r="GW399" s="182"/>
      <c r="GX399" s="182"/>
      <c r="GY399" s="182"/>
      <c r="GZ399" s="182"/>
      <c r="HA399" s="182"/>
      <c r="HB399" s="182"/>
      <c r="HC399" s="182"/>
      <c r="HD399" s="182"/>
      <c r="HE399" s="182"/>
      <c r="HF399" s="182"/>
      <c r="HG399" s="182"/>
      <c r="HH399" s="182"/>
      <c r="HI399" s="182"/>
      <c r="HJ399" s="182"/>
      <c r="HK399" s="182"/>
      <c r="HL399" s="182"/>
      <c r="HM399" s="182"/>
      <c r="HN399" s="182"/>
      <c r="HO399" s="182"/>
      <c r="HP399" s="182"/>
      <c r="HQ399" s="182"/>
      <c r="HR399" s="182"/>
      <c r="HS399" s="182"/>
      <c r="HT399" s="182"/>
      <c r="HU399" s="182"/>
      <c r="HV399" s="182"/>
      <c r="HW399" s="182"/>
      <c r="HX399" s="182"/>
      <c r="HY399" s="182"/>
      <c r="HZ399" s="182"/>
      <c r="IA399" s="182"/>
      <c r="IB399" s="182"/>
      <c r="IC399" s="182"/>
      <c r="ID399" s="182"/>
      <c r="IE399" s="182"/>
      <c r="IF399" s="182"/>
      <c r="IG399" s="182"/>
      <c r="IH399" s="182"/>
      <c r="II399" s="182"/>
      <c r="IJ399" s="182"/>
      <c r="IK399" s="182"/>
      <c r="IL399" s="182"/>
      <c r="IM399" s="182"/>
      <c r="IN399" s="182"/>
      <c r="IO399" s="182"/>
      <c r="IP399" s="182"/>
      <c r="IQ399" s="182"/>
      <c r="IR399" s="182"/>
      <c r="IS399" s="182"/>
      <c r="IT399" s="182"/>
    </row>
    <row r="400" spans="1:254" s="183" customFormat="1" ht="50.1" customHeight="1">
      <c r="A400" s="148" t="s">
        <v>4847</v>
      </c>
      <c r="B400" s="1585" t="s">
        <v>4855</v>
      </c>
      <c r="C400" s="1585"/>
      <c r="D400" s="1585"/>
      <c r="E400" s="179">
        <f>E388/24/31</f>
        <v>0.85856720430107525</v>
      </c>
      <c r="F400" s="179">
        <f>F388/24/28</f>
        <v>1.1359866071428573</v>
      </c>
      <c r="G400" s="179">
        <f>G388/24/31</f>
        <v>1.0976317204301076</v>
      </c>
      <c r="H400" s="179">
        <f>H388/24/30</f>
        <v>1.0628055555555556</v>
      </c>
      <c r="I400" s="179">
        <f>I388/24/31</f>
        <v>1.0461881720430108</v>
      </c>
      <c r="J400" s="179">
        <f>J388/24/30</f>
        <v>1.1759180555555555</v>
      </c>
      <c r="K400" s="179">
        <f>K388/24/31</f>
        <v>1.154831989247312</v>
      </c>
      <c r="L400" s="179">
        <f>L388/24/31</f>
        <v>1.0560766129032257</v>
      </c>
      <c r="M400" s="179">
        <f>M388/24/30</f>
        <v>0.40602638888888887</v>
      </c>
      <c r="N400" s="178">
        <f>N388/24/31</f>
        <v>1.0580309139784945</v>
      </c>
      <c r="O400" s="178">
        <f>O388/24/30</f>
        <v>1.1501902777777777</v>
      </c>
      <c r="P400" s="178">
        <f>P388/24/31</f>
        <v>1.1362352150537636</v>
      </c>
      <c r="Q400" s="1475">
        <f t="shared" si="32"/>
        <v>1.0282073927398021</v>
      </c>
      <c r="R400" s="1480"/>
      <c r="S400" s="182"/>
      <c r="T400" s="182"/>
      <c r="U400" s="182"/>
      <c r="V400" s="182"/>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2"/>
      <c r="AR400" s="182"/>
      <c r="AS400" s="182"/>
      <c r="AT400" s="182"/>
      <c r="AU400" s="182"/>
      <c r="AV400" s="182"/>
      <c r="AW400" s="182"/>
      <c r="AX400" s="182"/>
      <c r="AY400" s="182"/>
      <c r="AZ400" s="182"/>
      <c r="BA400" s="182"/>
      <c r="BB400" s="182"/>
      <c r="BC400" s="182"/>
      <c r="BD400" s="182"/>
      <c r="BE400" s="182"/>
      <c r="BF400" s="182"/>
      <c r="BG400" s="182"/>
      <c r="BH400" s="182"/>
      <c r="BI400" s="182"/>
      <c r="BJ400" s="182"/>
      <c r="BK400" s="182"/>
      <c r="BL400" s="182"/>
      <c r="BM400" s="182"/>
      <c r="BN400" s="182"/>
      <c r="BO400" s="182"/>
      <c r="BP400" s="182"/>
      <c r="BQ400" s="182"/>
      <c r="BR400" s="182"/>
      <c r="BS400" s="182"/>
      <c r="BT400" s="182"/>
      <c r="BU400" s="182"/>
      <c r="BV400" s="182"/>
      <c r="BW400" s="182"/>
      <c r="BX400" s="182"/>
      <c r="BY400" s="182"/>
      <c r="BZ400" s="182"/>
      <c r="CA400" s="182"/>
      <c r="CB400" s="182"/>
      <c r="CC400" s="182"/>
      <c r="CD400" s="182"/>
      <c r="CE400" s="182"/>
      <c r="CF400" s="182"/>
      <c r="CG400" s="182"/>
      <c r="CH400" s="182"/>
      <c r="CI400" s="182"/>
      <c r="CJ400" s="182"/>
      <c r="CK400" s="182"/>
      <c r="CL400" s="182"/>
      <c r="CM400" s="182"/>
      <c r="CN400" s="182"/>
      <c r="CO400" s="182"/>
      <c r="CP400" s="182"/>
      <c r="CQ400" s="182"/>
      <c r="CR400" s="182"/>
      <c r="CS400" s="182"/>
      <c r="CT400" s="182"/>
      <c r="CU400" s="182"/>
      <c r="CV400" s="182"/>
      <c r="CW400" s="182"/>
      <c r="CX400" s="182"/>
      <c r="CY400" s="182"/>
      <c r="CZ400" s="182"/>
      <c r="DA400" s="182"/>
      <c r="DB400" s="182"/>
      <c r="DC400" s="182"/>
      <c r="DD400" s="182"/>
      <c r="DE400" s="182"/>
      <c r="DF400" s="182"/>
      <c r="DG400" s="182"/>
      <c r="DH400" s="182"/>
      <c r="DI400" s="182"/>
      <c r="DJ400" s="182"/>
      <c r="DK400" s="182"/>
      <c r="DL400" s="182"/>
      <c r="DM400" s="182"/>
      <c r="DN400" s="182"/>
      <c r="DO400" s="182"/>
      <c r="DP400" s="182"/>
      <c r="DQ400" s="182"/>
      <c r="DR400" s="182"/>
      <c r="DS400" s="182"/>
      <c r="DT400" s="182"/>
      <c r="DU400" s="182"/>
      <c r="DV400" s="182"/>
      <c r="DW400" s="182"/>
      <c r="DX400" s="182"/>
      <c r="DY400" s="182"/>
      <c r="DZ400" s="182"/>
      <c r="EA400" s="182"/>
      <c r="EB400" s="182"/>
      <c r="EC400" s="182"/>
      <c r="ED400" s="182"/>
      <c r="EE400" s="182"/>
      <c r="EF400" s="182"/>
      <c r="EG400" s="182"/>
      <c r="EH400" s="182"/>
      <c r="EI400" s="182"/>
      <c r="EJ400" s="182"/>
      <c r="EK400" s="182"/>
      <c r="EL400" s="182"/>
      <c r="EM400" s="182"/>
      <c r="EN400" s="182"/>
      <c r="EO400" s="182"/>
      <c r="EP400" s="182"/>
      <c r="EQ400" s="182"/>
      <c r="ER400" s="182"/>
      <c r="ES400" s="182"/>
      <c r="ET400" s="182"/>
      <c r="EU400" s="182"/>
      <c r="EV400" s="182"/>
      <c r="EW400" s="182"/>
      <c r="EX400" s="182"/>
      <c r="EY400" s="182"/>
      <c r="EZ400" s="182"/>
      <c r="FA400" s="182"/>
      <c r="FB400" s="182"/>
      <c r="FC400" s="182"/>
      <c r="FD400" s="182"/>
      <c r="FE400" s="182"/>
      <c r="FF400" s="182"/>
      <c r="FG400" s="182"/>
      <c r="FH400" s="182"/>
      <c r="FI400" s="182"/>
      <c r="FJ400" s="182"/>
      <c r="FK400" s="182"/>
      <c r="FL400" s="182"/>
      <c r="FM400" s="182"/>
      <c r="FN400" s="182"/>
      <c r="FO400" s="182"/>
      <c r="FP400" s="182"/>
      <c r="FQ400" s="182"/>
      <c r="FR400" s="182"/>
      <c r="FS400" s="182"/>
      <c r="FT400" s="182"/>
      <c r="FU400" s="182"/>
      <c r="FV400" s="182"/>
      <c r="FW400" s="182"/>
      <c r="FX400" s="182"/>
      <c r="FY400" s="182"/>
      <c r="FZ400" s="182"/>
      <c r="GA400" s="182"/>
      <c r="GB400" s="182"/>
      <c r="GC400" s="182"/>
      <c r="GD400" s="182"/>
      <c r="GE400" s="182"/>
      <c r="GF400" s="182"/>
      <c r="GG400" s="182"/>
      <c r="GH400" s="182"/>
      <c r="GI400" s="182"/>
      <c r="GJ400" s="182"/>
      <c r="GK400" s="182"/>
      <c r="GL400" s="182"/>
      <c r="GM400" s="182"/>
      <c r="GN400" s="182"/>
      <c r="GO400" s="182"/>
      <c r="GP400" s="182"/>
      <c r="GQ400" s="182"/>
      <c r="GR400" s="182"/>
      <c r="GS400" s="182"/>
      <c r="GT400" s="182"/>
      <c r="GU400" s="182"/>
      <c r="GV400" s="182"/>
      <c r="GW400" s="182"/>
      <c r="GX400" s="182"/>
      <c r="GY400" s="182"/>
      <c r="GZ400" s="182"/>
      <c r="HA400" s="182"/>
      <c r="HB400" s="182"/>
      <c r="HC400" s="182"/>
      <c r="HD400" s="182"/>
      <c r="HE400" s="182"/>
      <c r="HF400" s="182"/>
      <c r="HG400" s="182"/>
      <c r="HH400" s="182"/>
      <c r="HI400" s="182"/>
      <c r="HJ400" s="182"/>
      <c r="HK400" s="182"/>
      <c r="HL400" s="182"/>
      <c r="HM400" s="182"/>
      <c r="HN400" s="182"/>
      <c r="HO400" s="182"/>
      <c r="HP400" s="182"/>
      <c r="HQ400" s="182"/>
      <c r="HR400" s="182"/>
      <c r="HS400" s="182"/>
      <c r="HT400" s="182"/>
      <c r="HU400" s="182"/>
      <c r="HV400" s="182"/>
      <c r="HW400" s="182"/>
      <c r="HX400" s="182"/>
      <c r="HY400" s="182"/>
      <c r="HZ400" s="182"/>
      <c r="IA400" s="182"/>
      <c r="IB400" s="182"/>
      <c r="IC400" s="182"/>
      <c r="ID400" s="182"/>
      <c r="IE400" s="182"/>
      <c r="IF400" s="182"/>
      <c r="IG400" s="182"/>
      <c r="IH400" s="182"/>
      <c r="II400" s="182"/>
      <c r="IJ400" s="182"/>
      <c r="IK400" s="182"/>
      <c r="IL400" s="182"/>
      <c r="IM400" s="182"/>
      <c r="IN400" s="182"/>
      <c r="IO400" s="182"/>
      <c r="IP400" s="182"/>
      <c r="IQ400" s="182"/>
      <c r="IR400" s="182"/>
      <c r="IS400" s="182"/>
      <c r="IT400" s="182"/>
    </row>
    <row r="401" spans="1:254" s="183" customFormat="1" ht="50.1" customHeight="1">
      <c r="A401" s="148" t="s">
        <v>675</v>
      </c>
      <c r="B401" s="1585" t="s">
        <v>4855</v>
      </c>
      <c r="C401" s="1585"/>
      <c r="D401" s="1585"/>
      <c r="E401" s="179">
        <f>E389/8/31</f>
        <v>0.74901209677419356</v>
      </c>
      <c r="F401" s="179">
        <f>F389/8/28</f>
        <v>0.80296875000000001</v>
      </c>
      <c r="G401" s="179">
        <f>G389/8/31</f>
        <v>0.83225806451612905</v>
      </c>
      <c r="H401" s="179">
        <f>H389/8/30</f>
        <v>0.53074166666666667</v>
      </c>
      <c r="I401" s="179">
        <f>I389/8/31</f>
        <v>0.45891129032258066</v>
      </c>
      <c r="J401" s="179">
        <f>J389/8/30</f>
        <v>0.51262916666666669</v>
      </c>
      <c r="K401" s="179">
        <f>K389/8/31</f>
        <v>0.49070564516129028</v>
      </c>
      <c r="L401" s="179">
        <f>L389/8/31</f>
        <v>0.4901572580645161</v>
      </c>
      <c r="M401" s="179">
        <f>M389/8/30</f>
        <v>0.53282499999999999</v>
      </c>
      <c r="N401" s="178">
        <f>N389/8/31</f>
        <v>0.62336290322580645</v>
      </c>
      <c r="O401" s="178">
        <f>O389/8/30</f>
        <v>0.70965833333333339</v>
      </c>
      <c r="P401" s="178">
        <f>P389/8/31</f>
        <v>0.78944354838709685</v>
      </c>
      <c r="Q401" s="1475">
        <f t="shared" si="32"/>
        <v>0.6268894769265233</v>
      </c>
      <c r="R401" s="1480"/>
      <c r="S401" s="182"/>
      <c r="T401" s="182"/>
      <c r="U401" s="182"/>
      <c r="V401" s="182"/>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2"/>
      <c r="AR401" s="182"/>
      <c r="AS401" s="182"/>
      <c r="AT401" s="182"/>
      <c r="AU401" s="182"/>
      <c r="AV401" s="182"/>
      <c r="AW401" s="182"/>
      <c r="AX401" s="182"/>
      <c r="AY401" s="182"/>
      <c r="AZ401" s="182"/>
      <c r="BA401" s="182"/>
      <c r="BB401" s="182"/>
      <c r="BC401" s="182"/>
      <c r="BD401" s="182"/>
      <c r="BE401" s="182"/>
      <c r="BF401" s="182"/>
      <c r="BG401" s="182"/>
      <c r="BH401" s="182"/>
      <c r="BI401" s="182"/>
      <c r="BJ401" s="182"/>
      <c r="BK401" s="182"/>
      <c r="BL401" s="182"/>
      <c r="BM401" s="182"/>
      <c r="BN401" s="182"/>
      <c r="BO401" s="182"/>
      <c r="BP401" s="182"/>
      <c r="BQ401" s="182"/>
      <c r="BR401" s="182"/>
      <c r="BS401" s="182"/>
      <c r="BT401" s="182"/>
      <c r="BU401" s="182"/>
      <c r="BV401" s="182"/>
      <c r="BW401" s="182"/>
      <c r="BX401" s="182"/>
      <c r="BY401" s="182"/>
      <c r="BZ401" s="182"/>
      <c r="CA401" s="182"/>
      <c r="CB401" s="182"/>
      <c r="CC401" s="182"/>
      <c r="CD401" s="182"/>
      <c r="CE401" s="182"/>
      <c r="CF401" s="182"/>
      <c r="CG401" s="182"/>
      <c r="CH401" s="182"/>
      <c r="CI401" s="182"/>
      <c r="CJ401" s="182"/>
      <c r="CK401" s="182"/>
      <c r="CL401" s="182"/>
      <c r="CM401" s="182"/>
      <c r="CN401" s="182"/>
      <c r="CO401" s="182"/>
      <c r="CP401" s="182"/>
      <c r="CQ401" s="182"/>
      <c r="CR401" s="182"/>
      <c r="CS401" s="182"/>
      <c r="CT401" s="182"/>
      <c r="CU401" s="182"/>
      <c r="CV401" s="182"/>
      <c r="CW401" s="182"/>
      <c r="CX401" s="182"/>
      <c r="CY401" s="182"/>
      <c r="CZ401" s="182"/>
      <c r="DA401" s="182"/>
      <c r="DB401" s="182"/>
      <c r="DC401" s="182"/>
      <c r="DD401" s="182"/>
      <c r="DE401" s="182"/>
      <c r="DF401" s="182"/>
      <c r="DG401" s="182"/>
      <c r="DH401" s="182"/>
      <c r="DI401" s="182"/>
      <c r="DJ401" s="182"/>
      <c r="DK401" s="182"/>
      <c r="DL401" s="182"/>
      <c r="DM401" s="182"/>
      <c r="DN401" s="182"/>
      <c r="DO401" s="182"/>
      <c r="DP401" s="182"/>
      <c r="DQ401" s="182"/>
      <c r="DR401" s="182"/>
      <c r="DS401" s="182"/>
      <c r="DT401" s="182"/>
      <c r="DU401" s="182"/>
      <c r="DV401" s="182"/>
      <c r="DW401" s="182"/>
      <c r="DX401" s="182"/>
      <c r="DY401" s="182"/>
      <c r="DZ401" s="182"/>
      <c r="EA401" s="182"/>
      <c r="EB401" s="182"/>
      <c r="EC401" s="182"/>
      <c r="ED401" s="182"/>
      <c r="EE401" s="182"/>
      <c r="EF401" s="182"/>
      <c r="EG401" s="182"/>
      <c r="EH401" s="182"/>
      <c r="EI401" s="182"/>
      <c r="EJ401" s="182"/>
      <c r="EK401" s="182"/>
      <c r="EL401" s="182"/>
      <c r="EM401" s="182"/>
      <c r="EN401" s="182"/>
      <c r="EO401" s="182"/>
      <c r="EP401" s="182"/>
      <c r="EQ401" s="182"/>
      <c r="ER401" s="182"/>
      <c r="ES401" s="182"/>
      <c r="ET401" s="182"/>
      <c r="EU401" s="182"/>
      <c r="EV401" s="182"/>
      <c r="EW401" s="182"/>
      <c r="EX401" s="182"/>
      <c r="EY401" s="182"/>
      <c r="EZ401" s="182"/>
      <c r="FA401" s="182"/>
      <c r="FB401" s="182"/>
      <c r="FC401" s="182"/>
      <c r="FD401" s="182"/>
      <c r="FE401" s="182"/>
      <c r="FF401" s="182"/>
      <c r="FG401" s="182"/>
      <c r="FH401" s="182"/>
      <c r="FI401" s="182"/>
      <c r="FJ401" s="182"/>
      <c r="FK401" s="182"/>
      <c r="FL401" s="182"/>
      <c r="FM401" s="182"/>
      <c r="FN401" s="182"/>
      <c r="FO401" s="182"/>
      <c r="FP401" s="182"/>
      <c r="FQ401" s="182"/>
      <c r="FR401" s="182"/>
      <c r="FS401" s="182"/>
      <c r="FT401" s="182"/>
      <c r="FU401" s="182"/>
      <c r="FV401" s="182"/>
      <c r="FW401" s="182"/>
      <c r="FX401" s="182"/>
      <c r="FY401" s="182"/>
      <c r="FZ401" s="182"/>
      <c r="GA401" s="182"/>
      <c r="GB401" s="182"/>
      <c r="GC401" s="182"/>
      <c r="GD401" s="182"/>
      <c r="GE401" s="182"/>
      <c r="GF401" s="182"/>
      <c r="GG401" s="182"/>
      <c r="GH401" s="182"/>
      <c r="GI401" s="182"/>
      <c r="GJ401" s="182"/>
      <c r="GK401" s="182"/>
      <c r="GL401" s="182"/>
      <c r="GM401" s="182"/>
      <c r="GN401" s="182"/>
      <c r="GO401" s="182"/>
      <c r="GP401" s="182"/>
      <c r="GQ401" s="182"/>
      <c r="GR401" s="182"/>
      <c r="GS401" s="182"/>
      <c r="GT401" s="182"/>
      <c r="GU401" s="182"/>
      <c r="GV401" s="182"/>
      <c r="GW401" s="182"/>
      <c r="GX401" s="182"/>
      <c r="GY401" s="182"/>
      <c r="GZ401" s="182"/>
      <c r="HA401" s="182"/>
      <c r="HB401" s="182"/>
      <c r="HC401" s="182"/>
      <c r="HD401" s="182"/>
      <c r="HE401" s="182"/>
      <c r="HF401" s="182"/>
      <c r="HG401" s="182"/>
      <c r="HH401" s="182"/>
      <c r="HI401" s="182"/>
      <c r="HJ401" s="182"/>
      <c r="HK401" s="182"/>
      <c r="HL401" s="182"/>
      <c r="HM401" s="182"/>
      <c r="HN401" s="182"/>
      <c r="HO401" s="182"/>
      <c r="HP401" s="182"/>
      <c r="HQ401" s="182"/>
      <c r="HR401" s="182"/>
      <c r="HS401" s="182"/>
      <c r="HT401" s="182"/>
      <c r="HU401" s="182"/>
      <c r="HV401" s="182"/>
      <c r="HW401" s="182"/>
      <c r="HX401" s="182"/>
      <c r="HY401" s="182"/>
      <c r="HZ401" s="182"/>
      <c r="IA401" s="182"/>
      <c r="IB401" s="182"/>
      <c r="IC401" s="182"/>
      <c r="ID401" s="182"/>
      <c r="IE401" s="182"/>
      <c r="IF401" s="182"/>
      <c r="IG401" s="182"/>
      <c r="IH401" s="182"/>
      <c r="II401" s="182"/>
      <c r="IJ401" s="182"/>
      <c r="IK401" s="182"/>
      <c r="IL401" s="182"/>
      <c r="IM401" s="182"/>
      <c r="IN401" s="182"/>
      <c r="IO401" s="182"/>
      <c r="IP401" s="182"/>
      <c r="IQ401" s="182"/>
      <c r="IR401" s="182"/>
      <c r="IS401" s="182"/>
      <c r="IT401" s="182"/>
    </row>
    <row r="402" spans="1:254" s="183" customFormat="1" ht="50.1" customHeight="1">
      <c r="A402" s="148" t="s">
        <v>676</v>
      </c>
      <c r="B402" s="1585" t="s">
        <v>4855</v>
      </c>
      <c r="C402" s="1585"/>
      <c r="D402" s="1585"/>
      <c r="E402" s="179">
        <f>E390/8/31</f>
        <v>1.0596774193548388</v>
      </c>
      <c r="F402" s="179">
        <f>F390/8/28</f>
        <v>1.139</v>
      </c>
      <c r="G402" s="179">
        <f>G390/8/31</f>
        <v>0.97348387096774192</v>
      </c>
      <c r="H402" s="179">
        <f>H390/8/30</f>
        <v>1</v>
      </c>
      <c r="I402" s="179">
        <f>I390/8/31</f>
        <v>0.99774193548387091</v>
      </c>
      <c r="J402" s="179">
        <f>J390/8/30</f>
        <v>1.026</v>
      </c>
      <c r="K402" s="179">
        <f>K390/8/31</f>
        <v>1.0306451612903225</v>
      </c>
      <c r="L402" s="179">
        <f>L390/8/31</f>
        <v>0.97451612903225804</v>
      </c>
      <c r="M402" s="179">
        <f>M390/8/30</f>
        <v>0.95799999999999996</v>
      </c>
      <c r="N402" s="178">
        <f>N390/8/31</f>
        <v>1.0666895161290322</v>
      </c>
      <c r="O402" s="178">
        <f>O390/8/30</f>
        <v>1.0725499999999999</v>
      </c>
      <c r="P402" s="178">
        <f>P390/8/31</f>
        <v>1.0976572580645161</v>
      </c>
      <c r="Q402" s="1475">
        <f t="shared" si="32"/>
        <v>1.0329967741935482</v>
      </c>
      <c r="R402" s="1480"/>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182"/>
      <c r="AV402" s="182"/>
      <c r="AW402" s="182"/>
      <c r="AX402" s="182"/>
      <c r="AY402" s="182"/>
      <c r="AZ402" s="182"/>
      <c r="BA402" s="182"/>
      <c r="BB402" s="182"/>
      <c r="BC402" s="182"/>
      <c r="BD402" s="182"/>
      <c r="BE402" s="182"/>
      <c r="BF402" s="182"/>
      <c r="BG402" s="182"/>
      <c r="BH402" s="182"/>
      <c r="BI402" s="182"/>
      <c r="BJ402" s="182"/>
      <c r="BK402" s="182"/>
      <c r="BL402" s="182"/>
      <c r="BM402" s="182"/>
      <c r="BN402" s="182"/>
      <c r="BO402" s="182"/>
      <c r="BP402" s="182"/>
      <c r="BQ402" s="182"/>
      <c r="BR402" s="182"/>
      <c r="BS402" s="182"/>
      <c r="BT402" s="182"/>
      <c r="BU402" s="182"/>
      <c r="BV402" s="182"/>
      <c r="BW402" s="182"/>
      <c r="BX402" s="182"/>
      <c r="BY402" s="182"/>
      <c r="BZ402" s="182"/>
      <c r="CA402" s="182"/>
      <c r="CB402" s="182"/>
      <c r="CC402" s="182"/>
      <c r="CD402" s="182"/>
      <c r="CE402" s="182"/>
      <c r="CF402" s="182"/>
      <c r="CG402" s="182"/>
      <c r="CH402" s="182"/>
      <c r="CI402" s="182"/>
      <c r="CJ402" s="182"/>
      <c r="CK402" s="182"/>
      <c r="CL402" s="182"/>
      <c r="CM402" s="182"/>
      <c r="CN402" s="182"/>
      <c r="CO402" s="182"/>
      <c r="CP402" s="182"/>
      <c r="CQ402" s="182"/>
      <c r="CR402" s="182"/>
      <c r="CS402" s="182"/>
      <c r="CT402" s="182"/>
      <c r="CU402" s="182"/>
      <c r="CV402" s="182"/>
      <c r="CW402" s="182"/>
      <c r="CX402" s="182"/>
      <c r="CY402" s="182"/>
      <c r="CZ402" s="182"/>
      <c r="DA402" s="182"/>
      <c r="DB402" s="182"/>
      <c r="DC402" s="182"/>
      <c r="DD402" s="182"/>
      <c r="DE402" s="182"/>
      <c r="DF402" s="182"/>
      <c r="DG402" s="182"/>
      <c r="DH402" s="182"/>
      <c r="DI402" s="182"/>
      <c r="DJ402" s="182"/>
      <c r="DK402" s="182"/>
      <c r="DL402" s="182"/>
      <c r="DM402" s="182"/>
      <c r="DN402" s="182"/>
      <c r="DO402" s="182"/>
      <c r="DP402" s="182"/>
      <c r="DQ402" s="182"/>
      <c r="DR402" s="182"/>
      <c r="DS402" s="182"/>
      <c r="DT402" s="182"/>
      <c r="DU402" s="182"/>
      <c r="DV402" s="182"/>
      <c r="DW402" s="182"/>
      <c r="DX402" s="182"/>
      <c r="DY402" s="182"/>
      <c r="DZ402" s="182"/>
      <c r="EA402" s="182"/>
      <c r="EB402" s="182"/>
      <c r="EC402" s="182"/>
      <c r="ED402" s="182"/>
      <c r="EE402" s="182"/>
      <c r="EF402" s="182"/>
      <c r="EG402" s="182"/>
      <c r="EH402" s="182"/>
      <c r="EI402" s="182"/>
      <c r="EJ402" s="182"/>
      <c r="EK402" s="182"/>
      <c r="EL402" s="182"/>
      <c r="EM402" s="182"/>
      <c r="EN402" s="182"/>
      <c r="EO402" s="182"/>
      <c r="EP402" s="182"/>
      <c r="EQ402" s="182"/>
      <c r="ER402" s="182"/>
      <c r="ES402" s="182"/>
      <c r="ET402" s="182"/>
      <c r="EU402" s="182"/>
      <c r="EV402" s="182"/>
      <c r="EW402" s="182"/>
      <c r="EX402" s="182"/>
      <c r="EY402" s="182"/>
      <c r="EZ402" s="182"/>
      <c r="FA402" s="182"/>
      <c r="FB402" s="182"/>
      <c r="FC402" s="182"/>
      <c r="FD402" s="182"/>
      <c r="FE402" s="182"/>
      <c r="FF402" s="182"/>
      <c r="FG402" s="182"/>
      <c r="FH402" s="182"/>
      <c r="FI402" s="182"/>
      <c r="FJ402" s="182"/>
      <c r="FK402" s="182"/>
      <c r="FL402" s="182"/>
      <c r="FM402" s="182"/>
      <c r="FN402" s="182"/>
      <c r="FO402" s="182"/>
      <c r="FP402" s="182"/>
      <c r="FQ402" s="182"/>
      <c r="FR402" s="182"/>
      <c r="FS402" s="182"/>
      <c r="FT402" s="182"/>
      <c r="FU402" s="182"/>
      <c r="FV402" s="182"/>
      <c r="FW402" s="182"/>
      <c r="FX402" s="182"/>
      <c r="FY402" s="182"/>
      <c r="FZ402" s="182"/>
      <c r="GA402" s="182"/>
      <c r="GB402" s="182"/>
      <c r="GC402" s="182"/>
      <c r="GD402" s="182"/>
      <c r="GE402" s="182"/>
      <c r="GF402" s="182"/>
      <c r="GG402" s="182"/>
      <c r="GH402" s="182"/>
      <c r="GI402" s="182"/>
      <c r="GJ402" s="182"/>
      <c r="GK402" s="182"/>
      <c r="GL402" s="182"/>
      <c r="GM402" s="182"/>
      <c r="GN402" s="182"/>
      <c r="GO402" s="182"/>
      <c r="GP402" s="182"/>
      <c r="GQ402" s="182"/>
      <c r="GR402" s="182"/>
      <c r="GS402" s="182"/>
      <c r="GT402" s="182"/>
      <c r="GU402" s="182"/>
      <c r="GV402" s="182"/>
      <c r="GW402" s="182"/>
      <c r="GX402" s="182"/>
      <c r="GY402" s="182"/>
      <c r="GZ402" s="182"/>
      <c r="HA402" s="182"/>
      <c r="HB402" s="182"/>
      <c r="HC402" s="182"/>
      <c r="HD402" s="182"/>
      <c r="HE402" s="182"/>
      <c r="HF402" s="182"/>
      <c r="HG402" s="182"/>
      <c r="HH402" s="182"/>
      <c r="HI402" s="182"/>
      <c r="HJ402" s="182"/>
      <c r="HK402" s="182"/>
      <c r="HL402" s="182"/>
      <c r="HM402" s="182"/>
      <c r="HN402" s="182"/>
      <c r="HO402" s="182"/>
      <c r="HP402" s="182"/>
      <c r="HQ402" s="182"/>
      <c r="HR402" s="182"/>
      <c r="HS402" s="182"/>
      <c r="HT402" s="182"/>
      <c r="HU402" s="182"/>
      <c r="HV402" s="182"/>
      <c r="HW402" s="182"/>
      <c r="HX402" s="182"/>
      <c r="HY402" s="182"/>
      <c r="HZ402" s="182"/>
      <c r="IA402" s="182"/>
      <c r="IB402" s="182"/>
      <c r="IC402" s="182"/>
      <c r="ID402" s="182"/>
      <c r="IE402" s="182"/>
      <c r="IF402" s="182"/>
      <c r="IG402" s="182"/>
      <c r="IH402" s="182"/>
      <c r="II402" s="182"/>
      <c r="IJ402" s="182"/>
      <c r="IK402" s="182"/>
      <c r="IL402" s="182"/>
      <c r="IM402" s="182"/>
      <c r="IN402" s="182"/>
      <c r="IO402" s="182"/>
      <c r="IP402" s="182"/>
      <c r="IQ402" s="182"/>
      <c r="IR402" s="182"/>
      <c r="IS402" s="182"/>
      <c r="IT402" s="182"/>
    </row>
    <row r="403" spans="1:254" s="183" customFormat="1" ht="50.1" customHeight="1">
      <c r="A403" s="148" t="s">
        <v>4849</v>
      </c>
      <c r="B403" s="1585" t="s">
        <v>4855</v>
      </c>
      <c r="C403" s="1585"/>
      <c r="D403" s="1585"/>
      <c r="E403" s="179">
        <v>16.013999999999999</v>
      </c>
      <c r="F403" s="179">
        <v>20.521000000000001</v>
      </c>
      <c r="G403" s="179">
        <v>19.390999999999998</v>
      </c>
      <c r="H403" s="179">
        <v>17.568999999999999</v>
      </c>
      <c r="I403" s="179">
        <v>16.911000000000001</v>
      </c>
      <c r="J403" s="179">
        <v>19.167000000000002</v>
      </c>
      <c r="K403" s="179">
        <v>18.788</v>
      </c>
      <c r="L403" s="179">
        <v>17.082000000000001</v>
      </c>
      <c r="M403" s="179">
        <v>7.069</v>
      </c>
      <c r="N403" s="178">
        <v>17.16</v>
      </c>
      <c r="O403" s="178">
        <v>19.931999999999999</v>
      </c>
      <c r="P403" s="178">
        <v>21.32</v>
      </c>
      <c r="Q403" s="1475">
        <f t="shared" si="32"/>
        <v>17.576999999999995</v>
      </c>
      <c r="R403" s="1480"/>
      <c r="S403" s="182"/>
      <c r="T403" s="182"/>
      <c r="U403" s="182"/>
      <c r="V403" s="182"/>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2"/>
      <c r="AR403" s="182"/>
      <c r="AS403" s="182"/>
      <c r="AT403" s="182"/>
      <c r="AU403" s="182"/>
      <c r="AV403" s="182"/>
      <c r="AW403" s="182"/>
      <c r="AX403" s="182"/>
      <c r="AY403" s="182"/>
      <c r="AZ403" s="182"/>
      <c r="BA403" s="182"/>
      <c r="BB403" s="182"/>
      <c r="BC403" s="182"/>
      <c r="BD403" s="182"/>
      <c r="BE403" s="182"/>
      <c r="BF403" s="182"/>
      <c r="BG403" s="182"/>
      <c r="BH403" s="182"/>
      <c r="BI403" s="182"/>
      <c r="BJ403" s="182"/>
      <c r="BK403" s="182"/>
      <c r="BL403" s="182"/>
      <c r="BM403" s="182"/>
      <c r="BN403" s="182"/>
      <c r="BO403" s="182"/>
      <c r="BP403" s="182"/>
      <c r="BQ403" s="182"/>
      <c r="BR403" s="182"/>
      <c r="BS403" s="182"/>
      <c r="BT403" s="182"/>
      <c r="BU403" s="182"/>
      <c r="BV403" s="182"/>
      <c r="BW403" s="182"/>
      <c r="BX403" s="182"/>
      <c r="BY403" s="182"/>
      <c r="BZ403" s="182"/>
      <c r="CA403" s="182"/>
      <c r="CB403" s="182"/>
      <c r="CC403" s="182"/>
      <c r="CD403" s="182"/>
      <c r="CE403" s="182"/>
      <c r="CF403" s="182"/>
      <c r="CG403" s="182"/>
      <c r="CH403" s="182"/>
      <c r="CI403" s="182"/>
      <c r="CJ403" s="182"/>
      <c r="CK403" s="182"/>
      <c r="CL403" s="182"/>
      <c r="CM403" s="182"/>
      <c r="CN403" s="182"/>
      <c r="CO403" s="182"/>
      <c r="CP403" s="182"/>
      <c r="CQ403" s="182"/>
      <c r="CR403" s="182"/>
      <c r="CS403" s="182"/>
      <c r="CT403" s="182"/>
      <c r="CU403" s="182"/>
      <c r="CV403" s="182"/>
      <c r="CW403" s="182"/>
      <c r="CX403" s="182"/>
      <c r="CY403" s="182"/>
      <c r="CZ403" s="182"/>
      <c r="DA403" s="182"/>
      <c r="DB403" s="182"/>
      <c r="DC403" s="182"/>
      <c r="DD403" s="182"/>
      <c r="DE403" s="182"/>
      <c r="DF403" s="182"/>
      <c r="DG403" s="182"/>
      <c r="DH403" s="182"/>
      <c r="DI403" s="182"/>
      <c r="DJ403" s="182"/>
      <c r="DK403" s="182"/>
      <c r="DL403" s="182"/>
      <c r="DM403" s="182"/>
      <c r="DN403" s="182"/>
      <c r="DO403" s="182"/>
      <c r="DP403" s="182"/>
      <c r="DQ403" s="182"/>
      <c r="DR403" s="182"/>
      <c r="DS403" s="182"/>
      <c r="DT403" s="182"/>
      <c r="DU403" s="182"/>
      <c r="DV403" s="182"/>
      <c r="DW403" s="182"/>
      <c r="DX403" s="182"/>
      <c r="DY403" s="182"/>
      <c r="DZ403" s="182"/>
      <c r="EA403" s="182"/>
      <c r="EB403" s="182"/>
      <c r="EC403" s="182"/>
      <c r="ED403" s="182"/>
      <c r="EE403" s="182"/>
      <c r="EF403" s="182"/>
      <c r="EG403" s="182"/>
      <c r="EH403" s="182"/>
      <c r="EI403" s="182"/>
      <c r="EJ403" s="182"/>
      <c r="EK403" s="182"/>
      <c r="EL403" s="182"/>
      <c r="EM403" s="182"/>
      <c r="EN403" s="182"/>
      <c r="EO403" s="182"/>
      <c r="EP403" s="182"/>
      <c r="EQ403" s="182"/>
      <c r="ER403" s="182"/>
      <c r="ES403" s="182"/>
      <c r="ET403" s="182"/>
      <c r="EU403" s="182"/>
      <c r="EV403" s="182"/>
      <c r="EW403" s="182"/>
      <c r="EX403" s="182"/>
      <c r="EY403" s="182"/>
      <c r="EZ403" s="182"/>
      <c r="FA403" s="182"/>
      <c r="FB403" s="182"/>
      <c r="FC403" s="182"/>
      <c r="FD403" s="182"/>
      <c r="FE403" s="182"/>
      <c r="FF403" s="182"/>
      <c r="FG403" s="182"/>
      <c r="FH403" s="182"/>
      <c r="FI403" s="182"/>
      <c r="FJ403" s="182"/>
      <c r="FK403" s="182"/>
      <c r="FL403" s="182"/>
      <c r="FM403" s="182"/>
      <c r="FN403" s="182"/>
      <c r="FO403" s="182"/>
      <c r="FP403" s="182"/>
      <c r="FQ403" s="182"/>
      <c r="FR403" s="182"/>
      <c r="FS403" s="182"/>
      <c r="FT403" s="182"/>
      <c r="FU403" s="182"/>
      <c r="FV403" s="182"/>
      <c r="FW403" s="182"/>
      <c r="FX403" s="182"/>
      <c r="FY403" s="182"/>
      <c r="FZ403" s="182"/>
      <c r="GA403" s="182"/>
      <c r="GB403" s="182"/>
      <c r="GC403" s="182"/>
      <c r="GD403" s="182"/>
      <c r="GE403" s="182"/>
      <c r="GF403" s="182"/>
      <c r="GG403" s="182"/>
      <c r="GH403" s="182"/>
      <c r="GI403" s="182"/>
      <c r="GJ403" s="182"/>
      <c r="GK403" s="182"/>
      <c r="GL403" s="182"/>
      <c r="GM403" s="182"/>
      <c r="GN403" s="182"/>
      <c r="GO403" s="182"/>
      <c r="GP403" s="182"/>
      <c r="GQ403" s="182"/>
      <c r="GR403" s="182"/>
      <c r="GS403" s="182"/>
      <c r="GT403" s="182"/>
      <c r="GU403" s="182"/>
      <c r="GV403" s="182"/>
      <c r="GW403" s="182"/>
      <c r="GX403" s="182"/>
      <c r="GY403" s="182"/>
      <c r="GZ403" s="182"/>
      <c r="HA403" s="182"/>
      <c r="HB403" s="182"/>
      <c r="HC403" s="182"/>
      <c r="HD403" s="182"/>
      <c r="HE403" s="182"/>
      <c r="HF403" s="182"/>
      <c r="HG403" s="182"/>
      <c r="HH403" s="182"/>
      <c r="HI403" s="182"/>
      <c r="HJ403" s="182"/>
      <c r="HK403" s="182"/>
      <c r="HL403" s="182"/>
      <c r="HM403" s="182"/>
      <c r="HN403" s="182"/>
      <c r="HO403" s="182"/>
      <c r="HP403" s="182"/>
      <c r="HQ403" s="182"/>
      <c r="HR403" s="182"/>
      <c r="HS403" s="182"/>
      <c r="HT403" s="182"/>
      <c r="HU403" s="182"/>
      <c r="HV403" s="182"/>
      <c r="HW403" s="182"/>
      <c r="HX403" s="182"/>
      <c r="HY403" s="182"/>
      <c r="HZ403" s="182"/>
      <c r="IA403" s="182"/>
      <c r="IB403" s="182"/>
      <c r="IC403" s="182"/>
      <c r="ID403" s="182"/>
      <c r="IE403" s="182"/>
      <c r="IF403" s="182"/>
      <c r="IG403" s="182"/>
      <c r="IH403" s="182"/>
      <c r="II403" s="182"/>
      <c r="IJ403" s="182"/>
      <c r="IK403" s="182"/>
      <c r="IL403" s="182"/>
      <c r="IM403" s="182"/>
      <c r="IN403" s="182"/>
      <c r="IO403" s="182"/>
      <c r="IP403" s="182"/>
      <c r="IQ403" s="182"/>
      <c r="IR403" s="182"/>
      <c r="IS403" s="182"/>
      <c r="IT403" s="182"/>
    </row>
    <row r="404" spans="1:254" s="183" customFormat="1" ht="50.1" customHeight="1">
      <c r="A404" s="156" t="s">
        <v>677</v>
      </c>
      <c r="B404" s="1585" t="s">
        <v>4855</v>
      </c>
      <c r="C404" s="1585"/>
      <c r="D404" s="1585"/>
      <c r="E404" s="179">
        <v>20.7</v>
      </c>
      <c r="F404" s="179">
        <v>19.8</v>
      </c>
      <c r="G404" s="179">
        <v>25.9</v>
      </c>
      <c r="H404" s="179">
        <v>15.7</v>
      </c>
      <c r="I404" s="179">
        <v>19</v>
      </c>
      <c r="J404" s="179">
        <v>14.7</v>
      </c>
      <c r="K404" s="179">
        <v>21.7</v>
      </c>
      <c r="L404" s="179">
        <v>30.4</v>
      </c>
      <c r="M404" s="179">
        <v>22.2</v>
      </c>
      <c r="N404" s="178">
        <v>17.5</v>
      </c>
      <c r="O404" s="178">
        <v>14.3</v>
      </c>
      <c r="P404" s="178">
        <v>20.9</v>
      </c>
      <c r="Q404" s="1475">
        <f t="shared" si="32"/>
        <v>20.233333333333334</v>
      </c>
      <c r="R404" s="1480"/>
      <c r="S404" s="182"/>
      <c r="T404" s="182"/>
      <c r="U404" s="182"/>
      <c r="V404" s="182"/>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2"/>
      <c r="AR404" s="182"/>
      <c r="AS404" s="182"/>
      <c r="AT404" s="182"/>
      <c r="AU404" s="182"/>
      <c r="AV404" s="182"/>
      <c r="AW404" s="182"/>
      <c r="AX404" s="182"/>
      <c r="AY404" s="182"/>
      <c r="AZ404" s="182"/>
      <c r="BA404" s="182"/>
      <c r="BB404" s="182"/>
      <c r="BC404" s="182"/>
      <c r="BD404" s="182"/>
      <c r="BE404" s="182"/>
      <c r="BF404" s="182"/>
      <c r="BG404" s="182"/>
      <c r="BH404" s="182"/>
      <c r="BI404" s="182"/>
      <c r="BJ404" s="182"/>
      <c r="BK404" s="182"/>
      <c r="BL404" s="182"/>
      <c r="BM404" s="182"/>
      <c r="BN404" s="182"/>
      <c r="BO404" s="182"/>
      <c r="BP404" s="182"/>
      <c r="BQ404" s="182"/>
      <c r="BR404" s="182"/>
      <c r="BS404" s="182"/>
      <c r="BT404" s="182"/>
      <c r="BU404" s="182"/>
      <c r="BV404" s="182"/>
      <c r="BW404" s="182"/>
      <c r="BX404" s="182"/>
      <c r="BY404" s="182"/>
      <c r="BZ404" s="182"/>
      <c r="CA404" s="182"/>
      <c r="CB404" s="182"/>
      <c r="CC404" s="182"/>
      <c r="CD404" s="182"/>
      <c r="CE404" s="182"/>
      <c r="CF404" s="182"/>
      <c r="CG404" s="182"/>
      <c r="CH404" s="182"/>
      <c r="CI404" s="182"/>
      <c r="CJ404" s="182"/>
      <c r="CK404" s="182"/>
      <c r="CL404" s="182"/>
      <c r="CM404" s="182"/>
      <c r="CN404" s="182"/>
      <c r="CO404" s="182"/>
      <c r="CP404" s="182"/>
      <c r="CQ404" s="182"/>
      <c r="CR404" s="182"/>
      <c r="CS404" s="182"/>
      <c r="CT404" s="182"/>
      <c r="CU404" s="182"/>
      <c r="CV404" s="182"/>
      <c r="CW404" s="182"/>
      <c r="CX404" s="182"/>
      <c r="CY404" s="182"/>
      <c r="CZ404" s="182"/>
      <c r="DA404" s="182"/>
      <c r="DB404" s="182"/>
      <c r="DC404" s="182"/>
      <c r="DD404" s="182"/>
      <c r="DE404" s="182"/>
      <c r="DF404" s="182"/>
      <c r="DG404" s="182"/>
      <c r="DH404" s="182"/>
      <c r="DI404" s="182"/>
      <c r="DJ404" s="182"/>
      <c r="DK404" s="182"/>
      <c r="DL404" s="182"/>
      <c r="DM404" s="182"/>
      <c r="DN404" s="182"/>
      <c r="DO404" s="182"/>
      <c r="DP404" s="182"/>
      <c r="DQ404" s="182"/>
      <c r="DR404" s="182"/>
      <c r="DS404" s="182"/>
      <c r="DT404" s="182"/>
      <c r="DU404" s="182"/>
      <c r="DV404" s="182"/>
      <c r="DW404" s="182"/>
      <c r="DX404" s="182"/>
      <c r="DY404" s="182"/>
      <c r="DZ404" s="182"/>
      <c r="EA404" s="182"/>
      <c r="EB404" s="182"/>
      <c r="EC404" s="182"/>
      <c r="ED404" s="182"/>
      <c r="EE404" s="182"/>
      <c r="EF404" s="182"/>
      <c r="EG404" s="182"/>
      <c r="EH404" s="182"/>
      <c r="EI404" s="182"/>
      <c r="EJ404" s="182"/>
      <c r="EK404" s="182"/>
      <c r="EL404" s="182"/>
      <c r="EM404" s="182"/>
      <c r="EN404" s="182"/>
      <c r="EO404" s="182"/>
      <c r="EP404" s="182"/>
      <c r="EQ404" s="182"/>
      <c r="ER404" s="182"/>
      <c r="ES404" s="182"/>
      <c r="ET404" s="182"/>
      <c r="EU404" s="182"/>
      <c r="EV404" s="182"/>
      <c r="EW404" s="182"/>
      <c r="EX404" s="182"/>
      <c r="EY404" s="182"/>
      <c r="EZ404" s="182"/>
      <c r="FA404" s="182"/>
      <c r="FB404" s="182"/>
      <c r="FC404" s="182"/>
      <c r="FD404" s="182"/>
      <c r="FE404" s="182"/>
      <c r="FF404" s="182"/>
      <c r="FG404" s="182"/>
      <c r="FH404" s="182"/>
      <c r="FI404" s="182"/>
      <c r="FJ404" s="182"/>
      <c r="FK404" s="182"/>
      <c r="FL404" s="182"/>
      <c r="FM404" s="182"/>
      <c r="FN404" s="182"/>
      <c r="FO404" s="182"/>
      <c r="FP404" s="182"/>
      <c r="FQ404" s="182"/>
      <c r="FR404" s="182"/>
      <c r="FS404" s="182"/>
      <c r="FT404" s="182"/>
      <c r="FU404" s="182"/>
      <c r="FV404" s="182"/>
      <c r="FW404" s="182"/>
      <c r="FX404" s="182"/>
      <c r="FY404" s="182"/>
      <c r="FZ404" s="182"/>
      <c r="GA404" s="182"/>
      <c r="GB404" s="182"/>
      <c r="GC404" s="182"/>
      <c r="GD404" s="182"/>
      <c r="GE404" s="182"/>
      <c r="GF404" s="182"/>
      <c r="GG404" s="182"/>
      <c r="GH404" s="182"/>
      <c r="GI404" s="182"/>
      <c r="GJ404" s="182"/>
      <c r="GK404" s="182"/>
      <c r="GL404" s="182"/>
      <c r="GM404" s="182"/>
      <c r="GN404" s="182"/>
      <c r="GO404" s="182"/>
      <c r="GP404" s="182"/>
      <c r="GQ404" s="182"/>
      <c r="GR404" s="182"/>
      <c r="GS404" s="182"/>
      <c r="GT404" s="182"/>
      <c r="GU404" s="182"/>
      <c r="GV404" s="182"/>
      <c r="GW404" s="182"/>
      <c r="GX404" s="182"/>
      <c r="GY404" s="182"/>
      <c r="GZ404" s="182"/>
      <c r="HA404" s="182"/>
      <c r="HB404" s="182"/>
      <c r="HC404" s="182"/>
      <c r="HD404" s="182"/>
      <c r="HE404" s="182"/>
      <c r="HF404" s="182"/>
      <c r="HG404" s="182"/>
      <c r="HH404" s="182"/>
      <c r="HI404" s="182"/>
      <c r="HJ404" s="182"/>
      <c r="HK404" s="182"/>
      <c r="HL404" s="182"/>
      <c r="HM404" s="182"/>
      <c r="HN404" s="182"/>
      <c r="HO404" s="182"/>
      <c r="HP404" s="182"/>
      <c r="HQ404" s="182"/>
      <c r="HR404" s="182"/>
      <c r="HS404" s="182"/>
      <c r="HT404" s="182"/>
      <c r="HU404" s="182"/>
      <c r="HV404" s="182"/>
      <c r="HW404" s="182"/>
      <c r="HX404" s="182"/>
      <c r="HY404" s="182"/>
      <c r="HZ404" s="182"/>
      <c r="IA404" s="182"/>
      <c r="IB404" s="182"/>
      <c r="IC404" s="182"/>
      <c r="ID404" s="182"/>
      <c r="IE404" s="182"/>
      <c r="IF404" s="182"/>
      <c r="IG404" s="182"/>
      <c r="IH404" s="182"/>
      <c r="II404" s="182"/>
      <c r="IJ404" s="182"/>
      <c r="IK404" s="182"/>
      <c r="IL404" s="182"/>
      <c r="IM404" s="182"/>
      <c r="IN404" s="182"/>
      <c r="IO404" s="182"/>
      <c r="IP404" s="182"/>
      <c r="IQ404" s="182"/>
      <c r="IR404" s="182"/>
      <c r="IS404" s="182"/>
      <c r="IT404" s="182"/>
    </row>
    <row r="405" spans="1:254" s="183" customFormat="1" ht="50.1" customHeight="1">
      <c r="A405" s="165" t="s">
        <v>4857</v>
      </c>
      <c r="B405" s="1585" t="s">
        <v>4855</v>
      </c>
      <c r="C405" s="1585"/>
      <c r="D405" s="1585"/>
      <c r="E405" s="179">
        <v>9.0860000000000003</v>
      </c>
      <c r="F405" s="179">
        <v>9.5749999999999993</v>
      </c>
      <c r="G405" s="179">
        <v>8.3870000000000005</v>
      </c>
      <c r="H405" s="179">
        <v>7.944</v>
      </c>
      <c r="I405" s="179">
        <v>7.74</v>
      </c>
      <c r="J405" s="179">
        <v>7.8000000000000007</v>
      </c>
      <c r="K405" s="179">
        <v>8.6489999999999991</v>
      </c>
      <c r="L405" s="179">
        <v>7.8620000000000001</v>
      </c>
      <c r="M405" s="179">
        <v>7.5830000000000002</v>
      </c>
      <c r="N405" s="178">
        <v>8.7360000000000007</v>
      </c>
      <c r="O405" s="178">
        <v>9.0269999999999992</v>
      </c>
      <c r="P405" s="178">
        <v>9.4350000000000005</v>
      </c>
      <c r="Q405" s="1475">
        <f t="shared" si="32"/>
        <v>8.4853333333333349</v>
      </c>
      <c r="R405" s="1480"/>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c r="AR405" s="182"/>
      <c r="AS405" s="182"/>
      <c r="AT405" s="182"/>
      <c r="AU405" s="182"/>
      <c r="AV405" s="182"/>
      <c r="AW405" s="182"/>
      <c r="AX405" s="182"/>
      <c r="AY405" s="182"/>
      <c r="AZ405" s="182"/>
      <c r="BA405" s="182"/>
      <c r="BB405" s="182"/>
      <c r="BC405" s="182"/>
      <c r="BD405" s="182"/>
      <c r="BE405" s="182"/>
      <c r="BF405" s="182"/>
      <c r="BG405" s="182"/>
      <c r="BH405" s="182"/>
      <c r="BI405" s="182"/>
      <c r="BJ405" s="182"/>
      <c r="BK405" s="182"/>
      <c r="BL405" s="182"/>
      <c r="BM405" s="182"/>
      <c r="BN405" s="182"/>
      <c r="BO405" s="182"/>
      <c r="BP405" s="182"/>
      <c r="BQ405" s="182"/>
      <c r="BR405" s="182"/>
      <c r="BS405" s="182"/>
      <c r="BT405" s="182"/>
      <c r="BU405" s="182"/>
      <c r="BV405" s="182"/>
      <c r="BW405" s="182"/>
      <c r="BX405" s="182"/>
      <c r="BY405" s="182"/>
      <c r="BZ405" s="182"/>
      <c r="CA405" s="182"/>
      <c r="CB405" s="182"/>
      <c r="CC405" s="182"/>
      <c r="CD405" s="182"/>
      <c r="CE405" s="182"/>
      <c r="CF405" s="182"/>
      <c r="CG405" s="182"/>
      <c r="CH405" s="182"/>
      <c r="CI405" s="182"/>
      <c r="CJ405" s="182"/>
      <c r="CK405" s="182"/>
      <c r="CL405" s="182"/>
      <c r="CM405" s="182"/>
      <c r="CN405" s="182"/>
      <c r="CO405" s="182"/>
      <c r="CP405" s="182"/>
      <c r="CQ405" s="182"/>
      <c r="CR405" s="182"/>
      <c r="CS405" s="182"/>
      <c r="CT405" s="182"/>
      <c r="CU405" s="182"/>
      <c r="CV405" s="182"/>
      <c r="CW405" s="182"/>
      <c r="CX405" s="182"/>
      <c r="CY405" s="182"/>
      <c r="CZ405" s="182"/>
      <c r="DA405" s="182"/>
      <c r="DB405" s="182"/>
      <c r="DC405" s="182"/>
      <c r="DD405" s="182"/>
      <c r="DE405" s="182"/>
      <c r="DF405" s="182"/>
      <c r="DG405" s="182"/>
      <c r="DH405" s="182"/>
      <c r="DI405" s="182"/>
      <c r="DJ405" s="182"/>
      <c r="DK405" s="182"/>
      <c r="DL405" s="182"/>
      <c r="DM405" s="182"/>
      <c r="DN405" s="182"/>
      <c r="DO405" s="182"/>
      <c r="DP405" s="182"/>
      <c r="DQ405" s="182"/>
      <c r="DR405" s="182"/>
      <c r="DS405" s="182"/>
      <c r="DT405" s="182"/>
      <c r="DU405" s="182"/>
      <c r="DV405" s="182"/>
      <c r="DW405" s="182"/>
      <c r="DX405" s="182"/>
      <c r="DY405" s="182"/>
      <c r="DZ405" s="182"/>
      <c r="EA405" s="182"/>
      <c r="EB405" s="182"/>
      <c r="EC405" s="182"/>
      <c r="ED405" s="182"/>
      <c r="EE405" s="182"/>
      <c r="EF405" s="182"/>
      <c r="EG405" s="182"/>
      <c r="EH405" s="182"/>
      <c r="EI405" s="182"/>
      <c r="EJ405" s="182"/>
      <c r="EK405" s="182"/>
      <c r="EL405" s="182"/>
      <c r="EM405" s="182"/>
      <c r="EN405" s="182"/>
      <c r="EO405" s="182"/>
      <c r="EP405" s="182"/>
      <c r="EQ405" s="182"/>
      <c r="ER405" s="182"/>
      <c r="ES405" s="182"/>
      <c r="ET405" s="182"/>
      <c r="EU405" s="182"/>
      <c r="EV405" s="182"/>
      <c r="EW405" s="182"/>
      <c r="EX405" s="182"/>
      <c r="EY405" s="182"/>
      <c r="EZ405" s="182"/>
      <c r="FA405" s="182"/>
      <c r="FB405" s="182"/>
      <c r="FC405" s="182"/>
      <c r="FD405" s="182"/>
      <c r="FE405" s="182"/>
      <c r="FF405" s="182"/>
      <c r="FG405" s="182"/>
      <c r="FH405" s="182"/>
      <c r="FI405" s="182"/>
      <c r="FJ405" s="182"/>
      <c r="FK405" s="182"/>
      <c r="FL405" s="182"/>
      <c r="FM405" s="182"/>
      <c r="FN405" s="182"/>
      <c r="FO405" s="182"/>
      <c r="FP405" s="182"/>
      <c r="FQ405" s="182"/>
      <c r="FR405" s="182"/>
      <c r="FS405" s="182"/>
      <c r="FT405" s="182"/>
      <c r="FU405" s="182"/>
      <c r="FV405" s="182"/>
      <c r="FW405" s="182"/>
      <c r="FX405" s="182"/>
      <c r="FY405" s="182"/>
      <c r="FZ405" s="182"/>
      <c r="GA405" s="182"/>
      <c r="GB405" s="182"/>
      <c r="GC405" s="182"/>
      <c r="GD405" s="182"/>
      <c r="GE405" s="182"/>
      <c r="GF405" s="182"/>
      <c r="GG405" s="182"/>
      <c r="GH405" s="182"/>
      <c r="GI405" s="182"/>
      <c r="GJ405" s="182"/>
      <c r="GK405" s="182"/>
      <c r="GL405" s="182"/>
      <c r="GM405" s="182"/>
      <c r="GN405" s="182"/>
      <c r="GO405" s="182"/>
      <c r="GP405" s="182"/>
      <c r="GQ405" s="182"/>
      <c r="GR405" s="182"/>
      <c r="GS405" s="182"/>
      <c r="GT405" s="182"/>
      <c r="GU405" s="182"/>
      <c r="GV405" s="182"/>
      <c r="GW405" s="182"/>
      <c r="GX405" s="182"/>
      <c r="GY405" s="182"/>
      <c r="GZ405" s="182"/>
      <c r="HA405" s="182"/>
      <c r="HB405" s="182"/>
      <c r="HC405" s="182"/>
      <c r="HD405" s="182"/>
      <c r="HE405" s="182"/>
      <c r="HF405" s="182"/>
      <c r="HG405" s="182"/>
      <c r="HH405" s="182"/>
      <c r="HI405" s="182"/>
      <c r="HJ405" s="182"/>
      <c r="HK405" s="182"/>
      <c r="HL405" s="182"/>
      <c r="HM405" s="182"/>
      <c r="HN405" s="182"/>
      <c r="HO405" s="182"/>
      <c r="HP405" s="182"/>
      <c r="HQ405" s="182"/>
      <c r="HR405" s="182"/>
      <c r="HS405" s="182"/>
      <c r="HT405" s="182"/>
      <c r="HU405" s="182"/>
      <c r="HV405" s="182"/>
      <c r="HW405" s="182"/>
      <c r="HX405" s="182"/>
      <c r="HY405" s="182"/>
      <c r="HZ405" s="182"/>
      <c r="IA405" s="182"/>
      <c r="IB405" s="182"/>
      <c r="IC405" s="182"/>
      <c r="ID405" s="182"/>
      <c r="IE405" s="182"/>
      <c r="IF405" s="182"/>
      <c r="IG405" s="182"/>
      <c r="IH405" s="182"/>
      <c r="II405" s="182"/>
      <c r="IJ405" s="182"/>
      <c r="IK405" s="182"/>
      <c r="IL405" s="182"/>
      <c r="IM405" s="182"/>
      <c r="IN405" s="182"/>
      <c r="IO405" s="182"/>
      <c r="IP405" s="182"/>
      <c r="IQ405" s="182"/>
      <c r="IR405" s="182"/>
      <c r="IS405" s="182"/>
      <c r="IT405" s="182"/>
    </row>
    <row r="406" spans="1:254" s="183" customFormat="1" ht="50.1" customHeight="1">
      <c r="A406" s="165" t="s">
        <v>1995</v>
      </c>
      <c r="B406" s="1585" t="s">
        <v>4855</v>
      </c>
      <c r="C406" s="1585"/>
      <c r="D406" s="1585"/>
      <c r="E406" s="178">
        <v>1.1160000000000001</v>
      </c>
      <c r="F406" s="178">
        <v>1.147</v>
      </c>
      <c r="G406" s="178">
        <v>1.0409999999999999</v>
      </c>
      <c r="H406" s="178">
        <v>0.998</v>
      </c>
      <c r="I406" s="178">
        <v>0.96299999999999997</v>
      </c>
      <c r="J406" s="178">
        <v>1.165</v>
      </c>
      <c r="K406" s="178">
        <v>1.194</v>
      </c>
      <c r="L406" s="178">
        <v>1.3240000000000001</v>
      </c>
      <c r="M406" s="178">
        <v>1.089</v>
      </c>
      <c r="N406" s="178">
        <v>1.0669999999999999</v>
      </c>
      <c r="O406" s="178">
        <v>1.123</v>
      </c>
      <c r="P406" s="178">
        <v>1.177</v>
      </c>
      <c r="Q406" s="1475">
        <f t="shared" si="32"/>
        <v>1.117</v>
      </c>
      <c r="R406" s="1480"/>
      <c r="S406" s="182"/>
      <c r="T406" s="182"/>
      <c r="U406" s="182"/>
      <c r="V406" s="182"/>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2"/>
      <c r="AR406" s="182"/>
      <c r="AS406" s="182"/>
      <c r="AT406" s="182"/>
      <c r="AU406" s="182"/>
      <c r="AV406" s="182"/>
      <c r="AW406" s="182"/>
      <c r="AX406" s="182"/>
      <c r="AY406" s="182"/>
      <c r="AZ406" s="182"/>
      <c r="BA406" s="182"/>
      <c r="BB406" s="182"/>
      <c r="BC406" s="182"/>
      <c r="BD406" s="182"/>
      <c r="BE406" s="182"/>
      <c r="BF406" s="182"/>
      <c r="BG406" s="182"/>
      <c r="BH406" s="182"/>
      <c r="BI406" s="182"/>
      <c r="BJ406" s="182"/>
      <c r="BK406" s="182"/>
      <c r="BL406" s="182"/>
      <c r="BM406" s="182"/>
      <c r="BN406" s="182"/>
      <c r="BO406" s="182"/>
      <c r="BP406" s="182"/>
      <c r="BQ406" s="182"/>
      <c r="BR406" s="182"/>
      <c r="BS406" s="182"/>
      <c r="BT406" s="182"/>
      <c r="BU406" s="182"/>
      <c r="BV406" s="182"/>
      <c r="BW406" s="182"/>
      <c r="BX406" s="182"/>
      <c r="BY406" s="182"/>
      <c r="BZ406" s="182"/>
      <c r="CA406" s="182"/>
      <c r="CB406" s="182"/>
      <c r="CC406" s="182"/>
      <c r="CD406" s="182"/>
      <c r="CE406" s="182"/>
      <c r="CF406" s="182"/>
      <c r="CG406" s="182"/>
      <c r="CH406" s="182"/>
      <c r="CI406" s="182"/>
      <c r="CJ406" s="182"/>
      <c r="CK406" s="182"/>
      <c r="CL406" s="182"/>
      <c r="CM406" s="182"/>
      <c r="CN406" s="182"/>
      <c r="CO406" s="182"/>
      <c r="CP406" s="182"/>
      <c r="CQ406" s="182"/>
      <c r="CR406" s="182"/>
      <c r="CS406" s="182"/>
      <c r="CT406" s="182"/>
      <c r="CU406" s="182"/>
      <c r="CV406" s="182"/>
      <c r="CW406" s="182"/>
      <c r="CX406" s="182"/>
      <c r="CY406" s="182"/>
      <c r="CZ406" s="182"/>
      <c r="DA406" s="182"/>
      <c r="DB406" s="182"/>
      <c r="DC406" s="182"/>
      <c r="DD406" s="182"/>
      <c r="DE406" s="182"/>
      <c r="DF406" s="182"/>
      <c r="DG406" s="182"/>
      <c r="DH406" s="182"/>
      <c r="DI406" s="182"/>
      <c r="DJ406" s="182"/>
      <c r="DK406" s="182"/>
      <c r="DL406" s="182"/>
      <c r="DM406" s="182"/>
      <c r="DN406" s="182"/>
      <c r="DO406" s="182"/>
      <c r="DP406" s="182"/>
      <c r="DQ406" s="182"/>
      <c r="DR406" s="182"/>
      <c r="DS406" s="182"/>
      <c r="DT406" s="182"/>
      <c r="DU406" s="182"/>
      <c r="DV406" s="182"/>
      <c r="DW406" s="182"/>
      <c r="DX406" s="182"/>
      <c r="DY406" s="182"/>
      <c r="DZ406" s="182"/>
      <c r="EA406" s="182"/>
      <c r="EB406" s="182"/>
      <c r="EC406" s="182"/>
      <c r="ED406" s="182"/>
      <c r="EE406" s="182"/>
      <c r="EF406" s="182"/>
      <c r="EG406" s="182"/>
      <c r="EH406" s="182"/>
      <c r="EI406" s="182"/>
      <c r="EJ406" s="182"/>
      <c r="EK406" s="182"/>
      <c r="EL406" s="182"/>
      <c r="EM406" s="182"/>
      <c r="EN406" s="182"/>
      <c r="EO406" s="182"/>
      <c r="EP406" s="182"/>
      <c r="EQ406" s="182"/>
      <c r="ER406" s="182"/>
      <c r="ES406" s="182"/>
      <c r="ET406" s="182"/>
      <c r="EU406" s="182"/>
      <c r="EV406" s="182"/>
      <c r="EW406" s="182"/>
      <c r="EX406" s="182"/>
      <c r="EY406" s="182"/>
      <c r="EZ406" s="182"/>
      <c r="FA406" s="182"/>
      <c r="FB406" s="182"/>
      <c r="FC406" s="182"/>
      <c r="FD406" s="182"/>
      <c r="FE406" s="182"/>
      <c r="FF406" s="182"/>
      <c r="FG406" s="182"/>
      <c r="FH406" s="182"/>
      <c r="FI406" s="182"/>
      <c r="FJ406" s="182"/>
      <c r="FK406" s="182"/>
      <c r="FL406" s="182"/>
      <c r="FM406" s="182"/>
      <c r="FN406" s="182"/>
      <c r="FO406" s="182"/>
      <c r="FP406" s="182"/>
      <c r="FQ406" s="182"/>
      <c r="FR406" s="182"/>
      <c r="FS406" s="182"/>
      <c r="FT406" s="182"/>
      <c r="FU406" s="182"/>
      <c r="FV406" s="182"/>
      <c r="FW406" s="182"/>
      <c r="FX406" s="182"/>
      <c r="FY406" s="182"/>
      <c r="FZ406" s="182"/>
      <c r="GA406" s="182"/>
      <c r="GB406" s="182"/>
      <c r="GC406" s="182"/>
      <c r="GD406" s="182"/>
      <c r="GE406" s="182"/>
      <c r="GF406" s="182"/>
      <c r="GG406" s="182"/>
      <c r="GH406" s="182"/>
      <c r="GI406" s="182"/>
      <c r="GJ406" s="182"/>
      <c r="GK406" s="182"/>
      <c r="GL406" s="182"/>
      <c r="GM406" s="182"/>
      <c r="GN406" s="182"/>
      <c r="GO406" s="182"/>
      <c r="GP406" s="182"/>
      <c r="GQ406" s="182"/>
      <c r="GR406" s="182"/>
      <c r="GS406" s="182"/>
      <c r="GT406" s="182"/>
      <c r="GU406" s="182"/>
      <c r="GV406" s="182"/>
      <c r="GW406" s="182"/>
      <c r="GX406" s="182"/>
      <c r="GY406" s="182"/>
      <c r="GZ406" s="182"/>
      <c r="HA406" s="182"/>
      <c r="HB406" s="182"/>
      <c r="HC406" s="182"/>
      <c r="HD406" s="182"/>
      <c r="HE406" s="182"/>
      <c r="HF406" s="182"/>
      <c r="HG406" s="182"/>
      <c r="HH406" s="182"/>
      <c r="HI406" s="182"/>
      <c r="HJ406" s="182"/>
      <c r="HK406" s="182"/>
      <c r="HL406" s="182"/>
      <c r="HM406" s="182"/>
      <c r="HN406" s="182"/>
      <c r="HO406" s="182"/>
      <c r="HP406" s="182"/>
      <c r="HQ406" s="182"/>
      <c r="HR406" s="182"/>
      <c r="HS406" s="182"/>
      <c r="HT406" s="182"/>
      <c r="HU406" s="182"/>
      <c r="HV406" s="182"/>
      <c r="HW406" s="182"/>
      <c r="HX406" s="182"/>
      <c r="HY406" s="182"/>
      <c r="HZ406" s="182"/>
      <c r="IA406" s="182"/>
      <c r="IB406" s="182"/>
      <c r="IC406" s="182"/>
      <c r="ID406" s="182"/>
      <c r="IE406" s="182"/>
      <c r="IF406" s="182"/>
      <c r="IG406" s="182"/>
      <c r="IH406" s="182"/>
      <c r="II406" s="182"/>
      <c r="IJ406" s="182"/>
      <c r="IK406" s="182"/>
      <c r="IL406" s="182"/>
      <c r="IM406" s="182"/>
      <c r="IN406" s="182"/>
      <c r="IO406" s="182"/>
      <c r="IP406" s="182"/>
      <c r="IQ406" s="182"/>
      <c r="IR406" s="182"/>
      <c r="IS406" s="182"/>
      <c r="IT406" s="182"/>
    </row>
    <row r="407" spans="1:254" s="183" customFormat="1" ht="50.1" customHeight="1">
      <c r="A407" s="148" t="s">
        <v>4858</v>
      </c>
      <c r="B407" s="1585" t="s">
        <v>4855</v>
      </c>
      <c r="C407" s="1585"/>
      <c r="D407" s="1585"/>
      <c r="E407" s="178">
        <v>13.978</v>
      </c>
      <c r="F407" s="178">
        <v>13.444000000000001</v>
      </c>
      <c r="G407" s="178">
        <v>14.153</v>
      </c>
      <c r="H407" s="178">
        <v>14.263</v>
      </c>
      <c r="I407" s="178">
        <v>12.842000000000001</v>
      </c>
      <c r="J407" s="178">
        <v>11.212</v>
      </c>
      <c r="K407" s="178">
        <v>11.706</v>
      </c>
      <c r="L407" s="178">
        <v>12.475</v>
      </c>
      <c r="M407" s="178">
        <v>10.381</v>
      </c>
      <c r="N407" s="178">
        <v>11.147</v>
      </c>
      <c r="O407" s="178">
        <v>13.252000000000001</v>
      </c>
      <c r="P407" s="178">
        <v>13.926</v>
      </c>
      <c r="Q407" s="177">
        <f t="shared" si="32"/>
        <v>12.731583333333333</v>
      </c>
      <c r="R407" s="1480"/>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c r="AR407" s="182"/>
      <c r="AS407" s="182"/>
      <c r="AT407" s="182"/>
      <c r="AU407" s="182"/>
      <c r="AV407" s="182"/>
      <c r="AW407" s="182"/>
      <c r="AX407" s="182"/>
      <c r="AY407" s="182"/>
      <c r="AZ407" s="182"/>
      <c r="BA407" s="182"/>
      <c r="BB407" s="182"/>
      <c r="BC407" s="182"/>
      <c r="BD407" s="182"/>
      <c r="BE407" s="182"/>
      <c r="BF407" s="182"/>
      <c r="BG407" s="182"/>
      <c r="BH407" s="182"/>
      <c r="BI407" s="182"/>
      <c r="BJ407" s="182"/>
      <c r="BK407" s="182"/>
      <c r="BL407" s="182"/>
      <c r="BM407" s="182"/>
      <c r="BN407" s="182"/>
      <c r="BO407" s="182"/>
      <c r="BP407" s="182"/>
      <c r="BQ407" s="182"/>
      <c r="BR407" s="182"/>
      <c r="BS407" s="182"/>
      <c r="BT407" s="182"/>
      <c r="BU407" s="182"/>
      <c r="BV407" s="182"/>
      <c r="BW407" s="182"/>
      <c r="BX407" s="182"/>
      <c r="BY407" s="182"/>
      <c r="BZ407" s="182"/>
      <c r="CA407" s="182"/>
      <c r="CB407" s="182"/>
      <c r="CC407" s="182"/>
      <c r="CD407" s="182"/>
      <c r="CE407" s="182"/>
      <c r="CF407" s="182"/>
      <c r="CG407" s="182"/>
      <c r="CH407" s="182"/>
      <c r="CI407" s="182"/>
      <c r="CJ407" s="182"/>
      <c r="CK407" s="182"/>
      <c r="CL407" s="182"/>
      <c r="CM407" s="182"/>
      <c r="CN407" s="182"/>
      <c r="CO407" s="182"/>
      <c r="CP407" s="182"/>
      <c r="CQ407" s="182"/>
      <c r="CR407" s="182"/>
      <c r="CS407" s="182"/>
      <c r="CT407" s="182"/>
      <c r="CU407" s="182"/>
      <c r="CV407" s="182"/>
      <c r="CW407" s="182"/>
      <c r="CX407" s="182"/>
      <c r="CY407" s="182"/>
      <c r="CZ407" s="182"/>
      <c r="DA407" s="182"/>
      <c r="DB407" s="182"/>
      <c r="DC407" s="182"/>
      <c r="DD407" s="182"/>
      <c r="DE407" s="182"/>
      <c r="DF407" s="182"/>
      <c r="DG407" s="182"/>
      <c r="DH407" s="182"/>
      <c r="DI407" s="182"/>
      <c r="DJ407" s="182"/>
      <c r="DK407" s="182"/>
      <c r="DL407" s="182"/>
      <c r="DM407" s="182"/>
      <c r="DN407" s="182"/>
      <c r="DO407" s="182"/>
      <c r="DP407" s="182"/>
      <c r="DQ407" s="182"/>
      <c r="DR407" s="182"/>
      <c r="DS407" s="182"/>
      <c r="DT407" s="182"/>
      <c r="DU407" s="182"/>
      <c r="DV407" s="182"/>
      <c r="DW407" s="182"/>
      <c r="DX407" s="182"/>
      <c r="DY407" s="182"/>
      <c r="DZ407" s="182"/>
      <c r="EA407" s="182"/>
      <c r="EB407" s="182"/>
      <c r="EC407" s="182"/>
      <c r="ED407" s="182"/>
      <c r="EE407" s="182"/>
      <c r="EF407" s="182"/>
      <c r="EG407" s="182"/>
      <c r="EH407" s="182"/>
      <c r="EI407" s="182"/>
      <c r="EJ407" s="182"/>
      <c r="EK407" s="182"/>
      <c r="EL407" s="182"/>
      <c r="EM407" s="182"/>
      <c r="EN407" s="182"/>
      <c r="EO407" s="182"/>
      <c r="EP407" s="182"/>
      <c r="EQ407" s="182"/>
      <c r="ER407" s="182"/>
      <c r="ES407" s="182"/>
      <c r="ET407" s="182"/>
      <c r="EU407" s="182"/>
      <c r="EV407" s="182"/>
      <c r="EW407" s="182"/>
      <c r="EX407" s="182"/>
      <c r="EY407" s="182"/>
      <c r="EZ407" s="182"/>
      <c r="FA407" s="182"/>
      <c r="FB407" s="182"/>
      <c r="FC407" s="182"/>
      <c r="FD407" s="182"/>
      <c r="FE407" s="182"/>
      <c r="FF407" s="182"/>
      <c r="FG407" s="182"/>
      <c r="FH407" s="182"/>
      <c r="FI407" s="182"/>
      <c r="FJ407" s="182"/>
      <c r="FK407" s="182"/>
      <c r="FL407" s="182"/>
      <c r="FM407" s="182"/>
      <c r="FN407" s="182"/>
      <c r="FO407" s="182"/>
      <c r="FP407" s="182"/>
      <c r="FQ407" s="182"/>
      <c r="FR407" s="182"/>
      <c r="FS407" s="182"/>
      <c r="FT407" s="182"/>
      <c r="FU407" s="182"/>
      <c r="FV407" s="182"/>
      <c r="FW407" s="182"/>
      <c r="FX407" s="182"/>
      <c r="FY407" s="182"/>
      <c r="FZ407" s="182"/>
      <c r="GA407" s="182"/>
      <c r="GB407" s="182"/>
      <c r="GC407" s="182"/>
      <c r="GD407" s="182"/>
      <c r="GE407" s="182"/>
      <c r="GF407" s="182"/>
      <c r="GG407" s="182"/>
      <c r="GH407" s="182"/>
      <c r="GI407" s="182"/>
      <c r="GJ407" s="182"/>
      <c r="GK407" s="182"/>
      <c r="GL407" s="182"/>
      <c r="GM407" s="182"/>
      <c r="GN407" s="182"/>
      <c r="GO407" s="182"/>
      <c r="GP407" s="182"/>
      <c r="GQ407" s="182"/>
      <c r="GR407" s="182"/>
      <c r="GS407" s="182"/>
      <c r="GT407" s="182"/>
      <c r="GU407" s="182"/>
      <c r="GV407" s="182"/>
      <c r="GW407" s="182"/>
      <c r="GX407" s="182"/>
      <c r="GY407" s="182"/>
      <c r="GZ407" s="182"/>
      <c r="HA407" s="182"/>
      <c r="HB407" s="182"/>
      <c r="HC407" s="182"/>
      <c r="HD407" s="182"/>
      <c r="HE407" s="182"/>
      <c r="HF407" s="182"/>
      <c r="HG407" s="182"/>
      <c r="HH407" s="182"/>
      <c r="HI407" s="182"/>
      <c r="HJ407" s="182"/>
      <c r="HK407" s="182"/>
      <c r="HL407" s="182"/>
      <c r="HM407" s="182"/>
      <c r="HN407" s="182"/>
      <c r="HO407" s="182"/>
      <c r="HP407" s="182"/>
      <c r="HQ407" s="182"/>
      <c r="HR407" s="182"/>
      <c r="HS407" s="182"/>
      <c r="HT407" s="182"/>
      <c r="HU407" s="182"/>
      <c r="HV407" s="182"/>
      <c r="HW407" s="182"/>
      <c r="HX407" s="182"/>
      <c r="HY407" s="182"/>
      <c r="HZ407" s="182"/>
      <c r="IA407" s="182"/>
      <c r="IB407" s="182"/>
      <c r="IC407" s="182"/>
      <c r="ID407" s="182"/>
      <c r="IE407" s="182"/>
      <c r="IF407" s="182"/>
      <c r="IG407" s="182"/>
      <c r="IH407" s="182"/>
      <c r="II407" s="182"/>
      <c r="IJ407" s="182"/>
      <c r="IK407" s="182"/>
      <c r="IL407" s="182"/>
      <c r="IM407" s="182"/>
      <c r="IN407" s="182"/>
      <c r="IO407" s="182"/>
      <c r="IP407" s="182"/>
      <c r="IQ407" s="182"/>
      <c r="IR407" s="182"/>
      <c r="IS407" s="182"/>
      <c r="IT407" s="182"/>
    </row>
    <row r="408" spans="1:254" s="146" customFormat="1" ht="30" customHeight="1">
      <c r="A408" s="1598" t="s">
        <v>4859</v>
      </c>
      <c r="B408" s="1598"/>
      <c r="C408" s="1598"/>
      <c r="D408" s="1598"/>
      <c r="E408" s="1598"/>
      <c r="F408" s="1598"/>
      <c r="G408" s="1598"/>
      <c r="H408" s="1598"/>
      <c r="I408" s="1598"/>
      <c r="J408" s="1598"/>
      <c r="K408" s="1598"/>
      <c r="L408" s="1598"/>
      <c r="M408" s="1598"/>
      <c r="N408" s="1598"/>
      <c r="O408" s="1598"/>
      <c r="P408" s="1598"/>
      <c r="Q408" s="184"/>
      <c r="R408" s="1478"/>
      <c r="S408" s="1479"/>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2"/>
      <c r="AY408" s="182"/>
      <c r="AZ408" s="182"/>
      <c r="BA408" s="182"/>
      <c r="BB408" s="182"/>
      <c r="BC408" s="182"/>
      <c r="BD408" s="182"/>
      <c r="BE408" s="182"/>
      <c r="BF408" s="182"/>
      <c r="BG408" s="182"/>
      <c r="BH408" s="182"/>
      <c r="BI408" s="182"/>
      <c r="BJ408" s="182"/>
      <c r="BK408" s="182"/>
      <c r="BL408" s="182"/>
      <c r="BM408" s="182"/>
      <c r="BN408" s="182"/>
      <c r="BO408" s="182"/>
      <c r="BP408" s="182"/>
      <c r="BQ408" s="182"/>
      <c r="BR408" s="182"/>
      <c r="BS408" s="182"/>
      <c r="BT408" s="182"/>
      <c r="BU408" s="182"/>
      <c r="BV408" s="182"/>
      <c r="BW408" s="182"/>
      <c r="BX408" s="182"/>
      <c r="BY408" s="182"/>
      <c r="BZ408" s="182"/>
      <c r="CA408" s="182"/>
      <c r="CB408" s="182"/>
      <c r="CC408" s="182"/>
      <c r="CD408" s="182"/>
      <c r="CE408" s="182"/>
      <c r="CF408" s="182"/>
      <c r="CG408" s="182"/>
      <c r="CH408" s="182"/>
      <c r="CI408" s="182"/>
      <c r="CJ408" s="182"/>
      <c r="CK408" s="182"/>
      <c r="CL408" s="182"/>
      <c r="CM408" s="182"/>
      <c r="CN408" s="182"/>
      <c r="CO408" s="182"/>
      <c r="CP408" s="182"/>
      <c r="CQ408" s="182"/>
      <c r="CR408" s="182"/>
      <c r="CS408" s="182"/>
      <c r="CT408" s="182"/>
      <c r="CU408" s="182"/>
      <c r="CV408" s="182"/>
      <c r="CW408" s="182"/>
      <c r="CX408" s="182"/>
      <c r="CY408" s="182"/>
      <c r="CZ408" s="182"/>
      <c r="DA408" s="182"/>
      <c r="DB408" s="182"/>
      <c r="DC408" s="182"/>
      <c r="DD408" s="182"/>
      <c r="DE408" s="182"/>
      <c r="DF408" s="182"/>
      <c r="DG408" s="182"/>
      <c r="DH408" s="182"/>
      <c r="DI408" s="182"/>
      <c r="DJ408" s="182"/>
      <c r="DK408" s="182"/>
      <c r="DL408" s="182"/>
      <c r="DM408" s="182"/>
      <c r="DN408" s="182"/>
      <c r="DO408" s="182"/>
      <c r="DP408" s="182"/>
      <c r="DQ408" s="182"/>
      <c r="DR408" s="182"/>
      <c r="DS408" s="182"/>
      <c r="DT408" s="182"/>
      <c r="DU408" s="182"/>
      <c r="DV408" s="182"/>
      <c r="DW408" s="182"/>
      <c r="DX408" s="182"/>
      <c r="DY408" s="182"/>
      <c r="DZ408" s="182"/>
      <c r="EA408" s="182"/>
      <c r="EB408" s="182"/>
      <c r="EC408" s="182"/>
      <c r="ED408" s="182"/>
      <c r="EE408" s="182"/>
      <c r="EF408" s="182"/>
      <c r="EG408" s="182"/>
      <c r="EH408" s="182"/>
      <c r="EI408" s="182"/>
      <c r="EJ408" s="182"/>
      <c r="EK408" s="182"/>
      <c r="EL408" s="182"/>
      <c r="EM408" s="182"/>
      <c r="EN408" s="182"/>
      <c r="EO408" s="182"/>
      <c r="EP408" s="182"/>
      <c r="EQ408" s="182"/>
      <c r="ER408" s="182"/>
      <c r="ES408" s="182"/>
      <c r="ET408" s="182"/>
      <c r="EU408" s="182"/>
      <c r="EV408" s="182"/>
      <c r="EW408" s="182"/>
      <c r="EX408" s="182"/>
      <c r="EY408" s="182"/>
      <c r="EZ408" s="182"/>
      <c r="FA408" s="182"/>
      <c r="FB408" s="182"/>
      <c r="FC408" s="182"/>
      <c r="FD408" s="182"/>
      <c r="FE408" s="182"/>
      <c r="FF408" s="182"/>
      <c r="FG408" s="182"/>
      <c r="FH408" s="182"/>
      <c r="FI408" s="182"/>
      <c r="FJ408" s="182"/>
      <c r="FK408" s="182"/>
      <c r="FL408" s="182"/>
      <c r="FM408" s="182"/>
      <c r="FN408" s="182"/>
      <c r="FO408" s="182"/>
      <c r="FP408" s="182"/>
      <c r="FQ408" s="182"/>
      <c r="FR408" s="182"/>
      <c r="FS408" s="182"/>
      <c r="FT408" s="182"/>
      <c r="FU408" s="182"/>
      <c r="FV408" s="182"/>
      <c r="FW408" s="182"/>
      <c r="FX408" s="182"/>
      <c r="FY408" s="182"/>
      <c r="FZ408" s="182"/>
      <c r="GA408" s="182"/>
      <c r="GB408" s="182"/>
      <c r="GC408" s="182"/>
      <c r="GD408" s="182"/>
      <c r="GE408" s="182"/>
      <c r="GF408" s="182"/>
      <c r="GG408" s="182"/>
      <c r="GH408" s="182"/>
      <c r="GI408" s="182"/>
      <c r="GJ408" s="182"/>
      <c r="GK408" s="182"/>
      <c r="GL408" s="182"/>
      <c r="GM408" s="182"/>
      <c r="GN408" s="182"/>
      <c r="GO408" s="182"/>
      <c r="GP408" s="182"/>
      <c r="GQ408" s="182"/>
      <c r="GR408" s="182"/>
      <c r="GS408" s="182"/>
      <c r="GT408" s="182"/>
      <c r="GU408" s="182"/>
      <c r="GV408" s="182"/>
      <c r="GW408" s="182"/>
      <c r="GX408" s="182"/>
      <c r="GY408" s="182"/>
      <c r="GZ408" s="182"/>
      <c r="HA408" s="182"/>
      <c r="HB408" s="182"/>
      <c r="HC408" s="182"/>
      <c r="HD408" s="182"/>
      <c r="HE408" s="182"/>
      <c r="HF408" s="182"/>
      <c r="HG408" s="182"/>
      <c r="HH408" s="182"/>
      <c r="HI408" s="182"/>
      <c r="HJ408" s="182"/>
      <c r="HK408" s="182"/>
      <c r="HL408" s="182"/>
      <c r="HM408" s="182"/>
      <c r="HN408" s="182"/>
      <c r="HO408" s="182"/>
      <c r="HP408" s="182"/>
      <c r="HQ408" s="182"/>
      <c r="HR408" s="182"/>
      <c r="HS408" s="182"/>
      <c r="HT408" s="182"/>
      <c r="HU408" s="182"/>
      <c r="HV408" s="182"/>
      <c r="HW408" s="182"/>
      <c r="HX408" s="182"/>
      <c r="HY408" s="182"/>
      <c r="HZ408" s="182"/>
      <c r="IA408" s="182"/>
      <c r="IB408" s="182"/>
      <c r="IC408" s="182"/>
      <c r="ID408" s="182"/>
      <c r="IE408" s="182"/>
      <c r="IF408" s="182"/>
      <c r="IG408" s="182"/>
      <c r="IH408" s="182"/>
      <c r="II408" s="182"/>
      <c r="IJ408" s="182"/>
      <c r="IK408" s="182"/>
      <c r="IL408" s="182"/>
      <c r="IM408" s="182"/>
      <c r="IN408" s="182"/>
      <c r="IO408" s="182"/>
      <c r="IP408" s="182"/>
      <c r="IQ408" s="182"/>
      <c r="IR408" s="182"/>
      <c r="IS408" s="182"/>
      <c r="IT408" s="182"/>
    </row>
    <row r="409" spans="1:254" s="146" customFormat="1" ht="30.75" customHeight="1">
      <c r="A409" s="1592" t="s">
        <v>1461</v>
      </c>
      <c r="B409" s="1592"/>
      <c r="C409" s="1592"/>
      <c r="D409" s="1592"/>
      <c r="E409" s="186"/>
      <c r="F409" s="186"/>
      <c r="G409" s="186"/>
      <c r="H409" s="186"/>
      <c r="I409" s="186"/>
      <c r="J409" s="186"/>
      <c r="K409" s="186"/>
      <c r="L409" s="186"/>
      <c r="M409" s="186"/>
      <c r="N409" s="186"/>
      <c r="O409" s="186"/>
      <c r="P409" s="186"/>
      <c r="Q409" s="187"/>
      <c r="R409" s="225"/>
      <c r="S409" s="226"/>
    </row>
    <row r="410" spans="1:254" s="146" customFormat="1" ht="60" customHeight="1">
      <c r="A410" s="1597" t="s">
        <v>1462</v>
      </c>
      <c r="B410" s="1597"/>
      <c r="C410" s="1599" t="s">
        <v>1463</v>
      </c>
      <c r="D410" s="1599" t="s">
        <v>1464</v>
      </c>
      <c r="E410" s="1597" t="s">
        <v>4860</v>
      </c>
      <c r="F410" s="1597"/>
      <c r="G410" s="1597"/>
      <c r="H410" s="1597"/>
      <c r="I410" s="1597"/>
      <c r="J410" s="1597"/>
      <c r="K410" s="1597"/>
      <c r="L410" s="1597"/>
      <c r="M410" s="1597"/>
      <c r="N410" s="1597"/>
      <c r="O410" s="1597"/>
      <c r="P410" s="1597"/>
      <c r="Q410" s="1599" t="s">
        <v>1466</v>
      </c>
    </row>
    <row r="411" spans="1:254" s="146" customFormat="1" ht="60" customHeight="1">
      <c r="A411" s="1590"/>
      <c r="B411" s="1590"/>
      <c r="C411" s="1582"/>
      <c r="D411" s="1583"/>
      <c r="E411" s="1590" t="s">
        <v>1467</v>
      </c>
      <c r="F411" s="1590"/>
      <c r="G411" s="1590"/>
      <c r="H411" s="1590" t="s">
        <v>1468</v>
      </c>
      <c r="I411" s="1590"/>
      <c r="J411" s="1590"/>
      <c r="K411" s="1590" t="s">
        <v>1469</v>
      </c>
      <c r="L411" s="1590"/>
      <c r="M411" s="1590"/>
      <c r="N411" s="1590" t="s">
        <v>1470</v>
      </c>
      <c r="O411" s="1590"/>
      <c r="P411" s="1590"/>
      <c r="Q411" s="1582"/>
    </row>
    <row r="412" spans="1:254" s="146" customFormat="1" ht="60" customHeight="1">
      <c r="A412" s="1590"/>
      <c r="B412" s="1590"/>
      <c r="C412" s="1582"/>
      <c r="D412" s="1583"/>
      <c r="E412" s="147" t="s">
        <v>1471</v>
      </c>
      <c r="F412" s="147" t="s">
        <v>1472</v>
      </c>
      <c r="G412" s="147" t="s">
        <v>1473</v>
      </c>
      <c r="H412" s="147" t="s">
        <v>1474</v>
      </c>
      <c r="I412" s="147" t="s">
        <v>1475</v>
      </c>
      <c r="J412" s="147" t="s">
        <v>1476</v>
      </c>
      <c r="K412" s="147" t="s">
        <v>1477</v>
      </c>
      <c r="L412" s="147" t="s">
        <v>1478</v>
      </c>
      <c r="M412" s="147" t="s">
        <v>1479</v>
      </c>
      <c r="N412" s="147" t="s">
        <v>1480</v>
      </c>
      <c r="O412" s="147" t="s">
        <v>1481</v>
      </c>
      <c r="P412" s="147" t="s">
        <v>4522</v>
      </c>
      <c r="Q412" s="1582"/>
    </row>
    <row r="413" spans="1:254" s="146" customFormat="1" ht="18" customHeight="1">
      <c r="A413" s="148">
        <v>1</v>
      </c>
      <c r="B413" s="148">
        <v>2</v>
      </c>
      <c r="C413" s="148">
        <v>3</v>
      </c>
      <c r="D413" s="148">
        <v>4</v>
      </c>
      <c r="E413" s="149">
        <v>5</v>
      </c>
      <c r="F413" s="149">
        <v>6</v>
      </c>
      <c r="G413" s="149">
        <v>7</v>
      </c>
      <c r="H413" s="149">
        <v>8</v>
      </c>
      <c r="I413" s="149">
        <v>9</v>
      </c>
      <c r="J413" s="149">
        <v>10</v>
      </c>
      <c r="K413" s="149">
        <v>11</v>
      </c>
      <c r="L413" s="149">
        <v>12</v>
      </c>
      <c r="M413" s="149">
        <v>13</v>
      </c>
      <c r="N413" s="149">
        <v>14</v>
      </c>
      <c r="O413" s="149">
        <v>15</v>
      </c>
      <c r="P413" s="149">
        <v>16</v>
      </c>
      <c r="Q413" s="149">
        <v>17</v>
      </c>
    </row>
    <row r="414" spans="1:254" s="146" customFormat="1" ht="60" customHeight="1">
      <c r="A414" s="1613" t="s">
        <v>4836</v>
      </c>
      <c r="B414" s="1613"/>
      <c r="C414" s="1613"/>
      <c r="D414" s="1613"/>
      <c r="E414" s="179">
        <f>E419+E420+E421+E422</f>
        <v>994.76800000000003</v>
      </c>
      <c r="F414" s="179">
        <f t="shared" ref="F414:P414" si="33">F419+F420+F421+F422</f>
        <v>1034.3509999999999</v>
      </c>
      <c r="G414" s="179">
        <f t="shared" si="33"/>
        <v>1013.053</v>
      </c>
      <c r="H414" s="179">
        <f t="shared" si="33"/>
        <v>896.0630000000001</v>
      </c>
      <c r="I414" s="179">
        <f t="shared" si="33"/>
        <v>925.44799999999998</v>
      </c>
      <c r="J414" s="179">
        <f t="shared" si="33"/>
        <v>957.46199999999999</v>
      </c>
      <c r="K414" s="179">
        <f t="shared" si="33"/>
        <v>998.40700000000015</v>
      </c>
      <c r="L414" s="179">
        <f t="shared" si="33"/>
        <v>1019.8340000000001</v>
      </c>
      <c r="M414" s="179">
        <f t="shared" si="33"/>
        <v>1018.015</v>
      </c>
      <c r="N414" s="179">
        <f t="shared" si="33"/>
        <v>1156.598</v>
      </c>
      <c r="O414" s="179">
        <f t="shared" si="33"/>
        <v>1219.96</v>
      </c>
      <c r="P414" s="179">
        <f t="shared" si="33"/>
        <v>1328.5650000000001</v>
      </c>
      <c r="Q414" s="216">
        <f>SUM(E414:P414)</f>
        <v>12562.523999999999</v>
      </c>
    </row>
    <row r="415" spans="1:254" s="146" customFormat="1" ht="27" customHeight="1">
      <c r="A415" s="1614"/>
      <c r="B415" s="1614"/>
      <c r="C415" s="1614"/>
      <c r="D415" s="1614"/>
      <c r="E415" s="1614"/>
      <c r="F415" s="1614"/>
      <c r="G415" s="1614"/>
      <c r="H415" s="1614"/>
      <c r="I415" s="1614"/>
      <c r="J415" s="1614"/>
      <c r="K415" s="1614"/>
      <c r="L415" s="1614"/>
      <c r="M415" s="1614"/>
      <c r="N415" s="1614"/>
      <c r="O415" s="1614"/>
      <c r="P415" s="1614"/>
      <c r="Q415" s="1614"/>
    </row>
    <row r="416" spans="1:254" s="146" customFormat="1" ht="50.1" customHeight="1">
      <c r="A416" s="217" t="s">
        <v>4838</v>
      </c>
      <c r="B416" s="178" t="s">
        <v>4839</v>
      </c>
      <c r="C416" s="178" t="s">
        <v>4840</v>
      </c>
      <c r="D416" s="178" t="s">
        <v>4841</v>
      </c>
      <c r="E416" s="195">
        <f>E414+E417</f>
        <v>2494.768</v>
      </c>
      <c r="F416" s="195">
        <f t="shared" ref="F416:P416" si="34">F417+F414</f>
        <v>2334.3509999999997</v>
      </c>
      <c r="G416" s="195">
        <f t="shared" si="34"/>
        <v>2413.0529999999999</v>
      </c>
      <c r="H416" s="195">
        <f t="shared" si="34"/>
        <v>2146.0630000000001</v>
      </c>
      <c r="I416" s="195">
        <f t="shared" si="34"/>
        <v>2115.4479999999999</v>
      </c>
      <c r="J416" s="195">
        <f t="shared" si="34"/>
        <v>1937.462</v>
      </c>
      <c r="K416" s="195">
        <f t="shared" si="34"/>
        <v>2148.4070000000002</v>
      </c>
      <c r="L416" s="195">
        <f t="shared" si="34"/>
        <v>2119.8339999999998</v>
      </c>
      <c r="M416" s="195">
        <f t="shared" si="34"/>
        <v>1998.0149999999999</v>
      </c>
      <c r="N416" s="195">
        <f t="shared" si="34"/>
        <v>2356.598</v>
      </c>
      <c r="O416" s="195">
        <f t="shared" si="34"/>
        <v>2599.96</v>
      </c>
      <c r="P416" s="195">
        <f t="shared" si="34"/>
        <v>2748.5650000000001</v>
      </c>
      <c r="Q416" s="177">
        <f>SUM(E416:P416)</f>
        <v>27412.523999999994</v>
      </c>
    </row>
    <row r="417" spans="1:17" s="146" customFormat="1" ht="50.1" customHeight="1">
      <c r="A417" s="178" t="s">
        <v>4844</v>
      </c>
      <c r="B417" s="178" t="s">
        <v>4839</v>
      </c>
      <c r="C417" s="178" t="s">
        <v>4840</v>
      </c>
      <c r="D417" s="178" t="s">
        <v>4842</v>
      </c>
      <c r="E417" s="195">
        <v>1500</v>
      </c>
      <c r="F417" s="195">
        <v>1300</v>
      </c>
      <c r="G417" s="195">
        <v>1400</v>
      </c>
      <c r="H417" s="195">
        <v>1250</v>
      </c>
      <c r="I417" s="195">
        <v>1190</v>
      </c>
      <c r="J417" s="195">
        <v>980</v>
      </c>
      <c r="K417" s="195">
        <v>1150</v>
      </c>
      <c r="L417" s="195">
        <v>1100</v>
      </c>
      <c r="M417" s="195">
        <v>980</v>
      </c>
      <c r="N417" s="195">
        <v>1200</v>
      </c>
      <c r="O417" s="195">
        <v>1380</v>
      </c>
      <c r="P417" s="195">
        <v>1420</v>
      </c>
      <c r="Q417" s="177">
        <f>SUM(E417:P417)</f>
        <v>14850</v>
      </c>
    </row>
    <row r="418" spans="1:17" s="146" customFormat="1" ht="39.950000000000003" customHeight="1">
      <c r="A418" s="1611" t="s">
        <v>4845</v>
      </c>
      <c r="B418" s="1611"/>
      <c r="C418" s="1611"/>
      <c r="D418" s="1611"/>
      <c r="E418" s="1611"/>
      <c r="F418" s="1611"/>
      <c r="G418" s="1611"/>
      <c r="H418" s="1611"/>
      <c r="I418" s="1611"/>
      <c r="J418" s="1611"/>
      <c r="K418" s="1611"/>
      <c r="L418" s="1611"/>
      <c r="M418" s="1611"/>
      <c r="N418" s="1611"/>
      <c r="O418" s="1611"/>
      <c r="P418" s="1611"/>
      <c r="Q418" s="1611"/>
    </row>
    <row r="419" spans="1:17" s="146" customFormat="1" ht="50.1" customHeight="1">
      <c r="A419" s="179" t="s">
        <v>4846</v>
      </c>
      <c r="B419" s="1620" t="s">
        <v>4839</v>
      </c>
      <c r="C419" s="1620"/>
      <c r="D419" s="1620"/>
      <c r="E419" s="179">
        <v>0</v>
      </c>
      <c r="F419" s="179">
        <v>0</v>
      </c>
      <c r="G419" s="179">
        <v>0</v>
      </c>
      <c r="H419" s="179">
        <v>0</v>
      </c>
      <c r="I419" s="179">
        <v>0</v>
      </c>
      <c r="J419" s="179">
        <v>0</v>
      </c>
      <c r="K419" s="179">
        <v>0</v>
      </c>
      <c r="L419" s="179">
        <v>0</v>
      </c>
      <c r="M419" s="179">
        <v>0</v>
      </c>
      <c r="N419" s="179">
        <v>0</v>
      </c>
      <c r="O419" s="179">
        <v>0</v>
      </c>
      <c r="P419" s="179">
        <v>0</v>
      </c>
      <c r="Q419" s="227">
        <f>SUM(E419:P419)</f>
        <v>0</v>
      </c>
    </row>
    <row r="420" spans="1:17" s="146" customFormat="1" ht="50.1" customHeight="1">
      <c r="A420" s="179" t="s">
        <v>4847</v>
      </c>
      <c r="B420" s="1620" t="s">
        <v>4839</v>
      </c>
      <c r="C420" s="1620"/>
      <c r="D420" s="1620"/>
      <c r="E420" s="179">
        <v>53.274999999999999</v>
      </c>
      <c r="F420" s="219">
        <v>36.494999999999997</v>
      </c>
      <c r="G420" s="219">
        <v>35.542000000000002</v>
      </c>
      <c r="H420" s="219">
        <v>33.499000000000002</v>
      </c>
      <c r="I420" s="219">
        <v>28.686</v>
      </c>
      <c r="J420" s="219">
        <v>31.081</v>
      </c>
      <c r="K420" s="219">
        <v>27.891999999999999</v>
      </c>
      <c r="L420" s="219">
        <v>50.817</v>
      </c>
      <c r="M420" s="219">
        <v>28.768999999999998</v>
      </c>
      <c r="N420" s="219">
        <v>29.629000000000001</v>
      </c>
      <c r="O420" s="219">
        <v>29.827000000000002</v>
      </c>
      <c r="P420" s="219">
        <v>41.801000000000002</v>
      </c>
      <c r="Q420" s="227">
        <f>SUM(E420:P420)</f>
        <v>427.31299999999999</v>
      </c>
    </row>
    <row r="421" spans="1:17" s="146" customFormat="1" ht="50.1" customHeight="1">
      <c r="A421" s="179" t="s">
        <v>675</v>
      </c>
      <c r="B421" s="1620" t="s">
        <v>4839</v>
      </c>
      <c r="C421" s="1620"/>
      <c r="D421" s="1620"/>
      <c r="E421" s="179">
        <v>451.28399999999999</v>
      </c>
      <c r="F421" s="219">
        <v>467.14299999999997</v>
      </c>
      <c r="G421" s="219">
        <v>423.185</v>
      </c>
      <c r="H421" s="219">
        <v>363.041</v>
      </c>
      <c r="I421" s="219">
        <v>438.94900000000001</v>
      </c>
      <c r="J421" s="219">
        <v>453.57299999999998</v>
      </c>
      <c r="K421" s="219">
        <v>512.39800000000002</v>
      </c>
      <c r="L421" s="219">
        <v>532.60599999999999</v>
      </c>
      <c r="M421" s="219">
        <v>490.77600000000001</v>
      </c>
      <c r="N421" s="219">
        <v>565.298</v>
      </c>
      <c r="O421" s="219">
        <v>581.798</v>
      </c>
      <c r="P421" s="219">
        <v>597.49599999999998</v>
      </c>
      <c r="Q421" s="227">
        <f>SUM(E421:P421)</f>
        <v>5877.5469999999996</v>
      </c>
    </row>
    <row r="422" spans="1:17" s="146" customFormat="1" ht="50.1" customHeight="1">
      <c r="A422" s="179" t="s">
        <v>4849</v>
      </c>
      <c r="B422" s="1620" t="s">
        <v>4839</v>
      </c>
      <c r="C422" s="1620"/>
      <c r="D422" s="1620"/>
      <c r="E422" s="179">
        <f>482.301+7.908</f>
        <v>490.209</v>
      </c>
      <c r="F422" s="219">
        <f>523.786+6.927</f>
        <v>530.71299999999997</v>
      </c>
      <c r="G422" s="219">
        <f>551.066+3.26</f>
        <v>554.32600000000002</v>
      </c>
      <c r="H422" s="219">
        <f>496.951+2.572</f>
        <v>499.52300000000002</v>
      </c>
      <c r="I422" s="219">
        <f>455.543+2.27</f>
        <v>457.81299999999999</v>
      </c>
      <c r="J422" s="219">
        <f>470.782+2.026</f>
        <v>472.80799999999999</v>
      </c>
      <c r="K422" s="219">
        <f>455.264+2.853</f>
        <v>458.11700000000002</v>
      </c>
      <c r="L422" s="219">
        <f>434.419+1.992</f>
        <v>436.411</v>
      </c>
      <c r="M422" s="219">
        <v>498.47</v>
      </c>
      <c r="N422" s="219">
        <v>561.67100000000005</v>
      </c>
      <c r="O422" s="219">
        <v>608.33500000000004</v>
      </c>
      <c r="P422" s="219">
        <v>689.26800000000003</v>
      </c>
      <c r="Q422" s="227">
        <f>SUM(E422:P422)</f>
        <v>6257.6640000000007</v>
      </c>
    </row>
    <row r="423" spans="1:17" s="146" customFormat="1" ht="36.75" customHeight="1">
      <c r="A423" s="1621" t="s">
        <v>4850</v>
      </c>
      <c r="B423" s="1621"/>
      <c r="C423" s="1621"/>
      <c r="D423" s="1621"/>
      <c r="E423" s="1621"/>
      <c r="F423" s="1621"/>
      <c r="G423" s="1621"/>
      <c r="H423" s="1621"/>
      <c r="I423" s="1621"/>
      <c r="J423" s="1621"/>
      <c r="K423" s="1621"/>
      <c r="L423" s="1621"/>
      <c r="M423" s="1621"/>
      <c r="N423" s="1621"/>
      <c r="O423" s="1621"/>
      <c r="P423" s="1621"/>
      <c r="Q423" s="1621"/>
    </row>
    <row r="424" spans="1:17" s="146" customFormat="1" ht="50.1" customHeight="1">
      <c r="A424" s="1617" t="s">
        <v>1462</v>
      </c>
      <c r="B424" s="1617"/>
      <c r="C424" s="1618" t="s">
        <v>1463</v>
      </c>
      <c r="D424" s="1618" t="s">
        <v>1464</v>
      </c>
      <c r="E424" s="1617" t="s">
        <v>4851</v>
      </c>
      <c r="F424" s="1617"/>
      <c r="G424" s="1617"/>
      <c r="H424" s="1617"/>
      <c r="I424" s="1617"/>
      <c r="J424" s="1617"/>
      <c r="K424" s="1617"/>
      <c r="L424" s="1617"/>
      <c r="M424" s="1617"/>
      <c r="N424" s="1617"/>
      <c r="O424" s="1617"/>
      <c r="P424" s="1617"/>
      <c r="Q424" s="1618" t="s">
        <v>1466</v>
      </c>
    </row>
    <row r="425" spans="1:17" s="146" customFormat="1" ht="50.1" customHeight="1">
      <c r="A425" s="1617"/>
      <c r="B425" s="1617"/>
      <c r="C425" s="1618"/>
      <c r="D425" s="1619"/>
      <c r="E425" s="1617" t="s">
        <v>1467</v>
      </c>
      <c r="F425" s="1617"/>
      <c r="G425" s="1617"/>
      <c r="H425" s="1617" t="s">
        <v>1468</v>
      </c>
      <c r="I425" s="1617"/>
      <c r="J425" s="1617"/>
      <c r="K425" s="1617" t="s">
        <v>1469</v>
      </c>
      <c r="L425" s="1617"/>
      <c r="M425" s="1617"/>
      <c r="N425" s="1617" t="s">
        <v>1470</v>
      </c>
      <c r="O425" s="1617"/>
      <c r="P425" s="1617"/>
      <c r="Q425" s="1618"/>
    </row>
    <row r="426" spans="1:17" s="146" customFormat="1" ht="50.1" customHeight="1">
      <c r="A426" s="1617"/>
      <c r="B426" s="1617"/>
      <c r="C426" s="1618"/>
      <c r="D426" s="1619"/>
      <c r="E426" s="228" t="s">
        <v>1471</v>
      </c>
      <c r="F426" s="228" t="s">
        <v>1472</v>
      </c>
      <c r="G426" s="228" t="s">
        <v>1473</v>
      </c>
      <c r="H426" s="228" t="s">
        <v>1474</v>
      </c>
      <c r="I426" s="228" t="s">
        <v>1475</v>
      </c>
      <c r="J426" s="228" t="s">
        <v>1476</v>
      </c>
      <c r="K426" s="228" t="s">
        <v>1477</v>
      </c>
      <c r="L426" s="228" t="s">
        <v>1478</v>
      </c>
      <c r="M426" s="228" t="s">
        <v>1479</v>
      </c>
      <c r="N426" s="228" t="s">
        <v>1480</v>
      </c>
      <c r="O426" s="228" t="s">
        <v>1481</v>
      </c>
      <c r="P426" s="228" t="s">
        <v>4522</v>
      </c>
      <c r="Q426" s="1618"/>
    </row>
    <row r="427" spans="1:17" s="146" customFormat="1" ht="24.75" customHeight="1">
      <c r="A427" s="1618">
        <v>1</v>
      </c>
      <c r="B427" s="1618"/>
      <c r="C427" s="173">
        <v>2</v>
      </c>
      <c r="D427" s="173">
        <v>3</v>
      </c>
      <c r="E427" s="173">
        <v>4</v>
      </c>
      <c r="F427" s="173">
        <v>5</v>
      </c>
      <c r="G427" s="173">
        <v>6</v>
      </c>
      <c r="H427" s="173">
        <v>7</v>
      </c>
      <c r="I427" s="173">
        <v>8</v>
      </c>
      <c r="J427" s="173">
        <v>9</v>
      </c>
      <c r="K427" s="173">
        <v>10</v>
      </c>
      <c r="L427" s="173">
        <v>11</v>
      </c>
      <c r="M427" s="173">
        <v>12</v>
      </c>
      <c r="N427" s="173">
        <v>13</v>
      </c>
      <c r="O427" s="173">
        <v>14</v>
      </c>
      <c r="P427" s="173">
        <v>15</v>
      </c>
      <c r="Q427" s="173">
        <v>16</v>
      </c>
    </row>
    <row r="428" spans="1:17" s="146" customFormat="1" ht="50.1" customHeight="1">
      <c r="A428" s="1595" t="s">
        <v>4854</v>
      </c>
      <c r="B428" s="1595"/>
      <c r="C428" s="1595"/>
      <c r="D428" s="1595"/>
      <c r="E428" s="229">
        <f t="shared" ref="E428:P428" si="35">E430+E431+E432+E433+E434</f>
        <v>6.4882997311827957</v>
      </c>
      <c r="F428" s="229">
        <f t="shared" si="35"/>
        <v>7.0227678571428562</v>
      </c>
      <c r="G428" s="229">
        <f t="shared" si="35"/>
        <v>6.4351626344086021</v>
      </c>
      <c r="H428" s="229">
        <f t="shared" si="35"/>
        <v>5.8961972222222219</v>
      </c>
      <c r="I428" s="229">
        <f t="shared" si="35"/>
        <v>5.7335120967741933</v>
      </c>
      <c r="J428" s="229">
        <f t="shared" si="35"/>
        <v>5.6720555555555556</v>
      </c>
      <c r="K428" s="229">
        <f t="shared" si="35"/>
        <v>5.9596102150537629</v>
      </c>
      <c r="L428" s="229">
        <f t="shared" si="35"/>
        <v>5.8979072580645155</v>
      </c>
      <c r="M428" s="229">
        <f t="shared" si="35"/>
        <v>5.9308569444444448</v>
      </c>
      <c r="N428" s="229">
        <f t="shared" si="35"/>
        <v>6.6802513440860221</v>
      </c>
      <c r="O428" s="229">
        <f t="shared" si="35"/>
        <v>7.4915847222222229</v>
      </c>
      <c r="P428" s="229">
        <f t="shared" si="35"/>
        <v>7.7254422043010749</v>
      </c>
      <c r="Q428" s="216">
        <f>SUM(E428:P428)/12</f>
        <v>6.4111373154548552</v>
      </c>
    </row>
    <row r="429" spans="1:17" s="194" customFormat="1" ht="29.25" customHeight="1">
      <c r="A429" s="1622" t="s">
        <v>4837</v>
      </c>
      <c r="B429" s="1623"/>
      <c r="C429" s="1623"/>
      <c r="D429" s="1623"/>
      <c r="E429" s="1623"/>
      <c r="F429" s="1623"/>
      <c r="G429" s="1623"/>
      <c r="H429" s="1623"/>
      <c r="I429" s="1623"/>
      <c r="J429" s="1623"/>
      <c r="K429" s="1623"/>
      <c r="L429" s="1623"/>
      <c r="M429" s="1623"/>
      <c r="N429" s="1623"/>
      <c r="O429" s="1623"/>
      <c r="P429" s="1623"/>
      <c r="Q429" s="1623"/>
    </row>
    <row r="430" spans="1:17" s="146" customFormat="1" ht="50.1" customHeight="1">
      <c r="A430" s="173" t="s">
        <v>4846</v>
      </c>
      <c r="B430" s="1596" t="s">
        <v>4855</v>
      </c>
      <c r="C430" s="1596"/>
      <c r="D430" s="1596"/>
      <c r="E430" s="219">
        <v>0</v>
      </c>
      <c r="F430" s="219">
        <v>0</v>
      </c>
      <c r="G430" s="219">
        <v>0</v>
      </c>
      <c r="H430" s="219">
        <v>0</v>
      </c>
      <c r="I430" s="219">
        <v>0</v>
      </c>
      <c r="J430" s="219">
        <v>0</v>
      </c>
      <c r="K430" s="219">
        <v>0</v>
      </c>
      <c r="L430" s="219">
        <v>0</v>
      </c>
      <c r="M430" s="219">
        <v>0</v>
      </c>
      <c r="N430" s="219">
        <v>0</v>
      </c>
      <c r="O430" s="219">
        <v>0</v>
      </c>
      <c r="P430" s="219">
        <v>0</v>
      </c>
      <c r="Q430" s="216">
        <f>SUM(E430:P430)/12</f>
        <v>0</v>
      </c>
    </row>
    <row r="431" spans="1:17" s="146" customFormat="1" ht="50.1" customHeight="1">
      <c r="A431" s="173" t="s">
        <v>4847</v>
      </c>
      <c r="B431" s="1596" t="s">
        <v>4855</v>
      </c>
      <c r="C431" s="1596"/>
      <c r="D431" s="1596"/>
      <c r="E431" s="219">
        <f>E420/24/31</f>
        <v>7.1606182795698928E-2</v>
      </c>
      <c r="F431" s="219">
        <f>F420/24/28</f>
        <v>5.4308035714285711E-2</v>
      </c>
      <c r="G431" s="219">
        <f>G420/24/31</f>
        <v>4.7771505376344087E-2</v>
      </c>
      <c r="H431" s="219">
        <f>H420/24/30</f>
        <v>4.6526388888888895E-2</v>
      </c>
      <c r="I431" s="219">
        <f>I420/24/31</f>
        <v>3.8556451612903227E-2</v>
      </c>
      <c r="J431" s="219">
        <f>J420/24/30</f>
        <v>4.3168055555555557E-2</v>
      </c>
      <c r="K431" s="219">
        <f>K420/24/31</f>
        <v>3.7489247311827956E-2</v>
      </c>
      <c r="L431" s="219">
        <f>L420/24/31</f>
        <v>6.8302419354838703E-2</v>
      </c>
      <c r="M431" s="219">
        <f>M420/24/30</f>
        <v>3.9956944444444441E-2</v>
      </c>
      <c r="N431" s="219">
        <f>N420/24/31</f>
        <v>3.9823924731182798E-2</v>
      </c>
      <c r="O431" s="219">
        <f>O420/24/30</f>
        <v>4.1426388888888895E-2</v>
      </c>
      <c r="P431" s="219">
        <f>P420/24/31</f>
        <v>5.6184139784946241E-2</v>
      </c>
      <c r="Q431" s="216">
        <f>SUM(E431:P431)/12</f>
        <v>4.8759973704983785E-2</v>
      </c>
    </row>
    <row r="432" spans="1:17" s="146" customFormat="1" ht="50.1" customHeight="1">
      <c r="A432" s="179" t="s">
        <v>675</v>
      </c>
      <c r="B432" s="1596" t="s">
        <v>4855</v>
      </c>
      <c r="C432" s="1596"/>
      <c r="D432" s="1596"/>
      <c r="E432" s="219">
        <f>E421/8/31</f>
        <v>1.8196935483870968</v>
      </c>
      <c r="F432" s="219">
        <f>F421/8/28</f>
        <v>2.0854598214285711</v>
      </c>
      <c r="G432" s="219">
        <f>G421/8/31</f>
        <v>1.706391129032258</v>
      </c>
      <c r="H432" s="219">
        <f>H421/8/30</f>
        <v>1.5126708333333334</v>
      </c>
      <c r="I432" s="219">
        <f>I421/8/31</f>
        <v>1.7699556451612903</v>
      </c>
      <c r="J432" s="219">
        <f>J421/8/30</f>
        <v>1.8898874999999999</v>
      </c>
      <c r="K432" s="219">
        <f>K421/8/31</f>
        <v>2.0661209677419357</v>
      </c>
      <c r="L432" s="219">
        <f>L421/8/31</f>
        <v>2.1476048387096776</v>
      </c>
      <c r="M432" s="219">
        <f>M421/8/30</f>
        <v>2.0449000000000002</v>
      </c>
      <c r="N432" s="219">
        <f>N421/8/31</f>
        <v>2.2794274193548385</v>
      </c>
      <c r="O432" s="219">
        <f>O421/8/30</f>
        <v>2.4241583333333332</v>
      </c>
      <c r="P432" s="219">
        <f>P421/8/31</f>
        <v>2.4092580645161288</v>
      </c>
      <c r="Q432" s="216">
        <f>SUM(E432:P432)/12</f>
        <v>2.0129606750832054</v>
      </c>
    </row>
    <row r="433" spans="1:17" s="146" customFormat="1" ht="50.1" customHeight="1">
      <c r="A433" s="173" t="s">
        <v>4849</v>
      </c>
      <c r="B433" s="1596" t="s">
        <v>4855</v>
      </c>
      <c r="C433" s="1596"/>
      <c r="D433" s="1596"/>
      <c r="E433" s="219">
        <v>1.9770000000000001</v>
      </c>
      <c r="F433" s="219">
        <v>2.3690000000000002</v>
      </c>
      <c r="G433" s="219">
        <v>2.2349999999999999</v>
      </c>
      <c r="H433" s="219">
        <v>2.081</v>
      </c>
      <c r="I433" s="219">
        <v>1.8460000000000001</v>
      </c>
      <c r="J433" s="219">
        <v>1.97</v>
      </c>
      <c r="K433" s="219">
        <v>1.847</v>
      </c>
      <c r="L433" s="219">
        <v>1.76</v>
      </c>
      <c r="M433" s="219">
        <v>2.077</v>
      </c>
      <c r="N433" s="219">
        <v>2.2650000000000001</v>
      </c>
      <c r="O433" s="219">
        <v>2.5350000000000001</v>
      </c>
      <c r="P433" s="219">
        <v>2.7789999999999999</v>
      </c>
      <c r="Q433" s="216">
        <f>SUM(E433:P433)/12</f>
        <v>2.1450833333333335</v>
      </c>
    </row>
    <row r="434" spans="1:17" customFormat="1" ht="50.1" customHeight="1">
      <c r="A434" s="230" t="s">
        <v>4844</v>
      </c>
      <c r="B434" s="1596" t="s">
        <v>4855</v>
      </c>
      <c r="C434" s="1596"/>
      <c r="D434" s="1596"/>
      <c r="E434" s="231">
        <v>2.62</v>
      </c>
      <c r="F434" s="231">
        <v>2.5139999999999998</v>
      </c>
      <c r="G434" s="231">
        <v>2.4460000000000002</v>
      </c>
      <c r="H434" s="231">
        <v>2.2559999999999998</v>
      </c>
      <c r="I434" s="231">
        <v>2.0790000000000002</v>
      </c>
      <c r="J434" s="231">
        <v>1.7689999999999999</v>
      </c>
      <c r="K434" s="231">
        <v>2.0089999999999999</v>
      </c>
      <c r="L434" s="231">
        <v>1.9219999999999999</v>
      </c>
      <c r="M434" s="231">
        <v>1.7689999999999999</v>
      </c>
      <c r="N434" s="231">
        <v>2.0960000000000001</v>
      </c>
      <c r="O434" s="231">
        <v>2.4910000000000001</v>
      </c>
      <c r="P434" s="231">
        <v>2.4809999999999999</v>
      </c>
      <c r="Q434" s="216">
        <f>SUM(E434:P434)/12</f>
        <v>2.204333333333333</v>
      </c>
    </row>
  </sheetData>
  <mergeCells count="569">
    <mergeCell ref="B434:D434"/>
    <mergeCell ref="E424:P424"/>
    <mergeCell ref="Q424:Q426"/>
    <mergeCell ref="E425:G425"/>
    <mergeCell ref="H425:J425"/>
    <mergeCell ref="K425:M425"/>
    <mergeCell ref="N425:P425"/>
    <mergeCell ref="B431:D431"/>
    <mergeCell ref="B432:D432"/>
    <mergeCell ref="B433:D433"/>
    <mergeCell ref="B419:D419"/>
    <mergeCell ref="A429:Q429"/>
    <mergeCell ref="B430:D430"/>
    <mergeCell ref="A427:B427"/>
    <mergeCell ref="A428:D428"/>
    <mergeCell ref="B420:D420"/>
    <mergeCell ref="A396:B396"/>
    <mergeCell ref="B404:D404"/>
    <mergeCell ref="B421:D421"/>
    <mergeCell ref="A424:B426"/>
    <mergeCell ref="C424:C426"/>
    <mergeCell ref="D424:D426"/>
    <mergeCell ref="B403:D403"/>
    <mergeCell ref="A414:D414"/>
    <mergeCell ref="A415:Q415"/>
    <mergeCell ref="A418:Q418"/>
    <mergeCell ref="B405:D405"/>
    <mergeCell ref="Q410:Q412"/>
    <mergeCell ref="B422:D422"/>
    <mergeCell ref="A423:Q423"/>
    <mergeCell ref="A408:P408"/>
    <mergeCell ref="A409:D409"/>
    <mergeCell ref="D410:D412"/>
    <mergeCell ref="E411:G411"/>
    <mergeCell ref="H411:J411"/>
    <mergeCell ref="K411:M411"/>
    <mergeCell ref="A392:Q392"/>
    <mergeCell ref="A393:B395"/>
    <mergeCell ref="C393:C395"/>
    <mergeCell ref="D393:D395"/>
    <mergeCell ref="E393:P393"/>
    <mergeCell ref="Q393:Q395"/>
    <mergeCell ref="E394:G394"/>
    <mergeCell ref="N411:P411"/>
    <mergeCell ref="E410:P410"/>
    <mergeCell ref="A397:D397"/>
    <mergeCell ref="B406:D406"/>
    <mergeCell ref="A410:B412"/>
    <mergeCell ref="C410:C412"/>
    <mergeCell ref="B407:D407"/>
    <mergeCell ref="B399:D399"/>
    <mergeCell ref="B400:D400"/>
    <mergeCell ref="B401:D401"/>
    <mergeCell ref="B402:D402"/>
    <mergeCell ref="B390:D390"/>
    <mergeCell ref="B389:D389"/>
    <mergeCell ref="A374:B376"/>
    <mergeCell ref="A386:Q386"/>
    <mergeCell ref="A378:D378"/>
    <mergeCell ref="A379:Q379"/>
    <mergeCell ref="N394:P394"/>
    <mergeCell ref="K394:M394"/>
    <mergeCell ref="H394:J394"/>
    <mergeCell ref="B391:D391"/>
    <mergeCell ref="B387:D387"/>
    <mergeCell ref="B388:D388"/>
    <mergeCell ref="B367:D367"/>
    <mergeCell ref="C374:C376"/>
    <mergeCell ref="D374:D376"/>
    <mergeCell ref="A370:Q370"/>
    <mergeCell ref="K375:M375"/>
    <mergeCell ref="A369:Q369"/>
    <mergeCell ref="A371:Q371"/>
    <mergeCell ref="A360:B360"/>
    <mergeCell ref="A361:D361"/>
    <mergeCell ref="A362:Q362"/>
    <mergeCell ref="B366:D366"/>
    <mergeCell ref="B363:D363"/>
    <mergeCell ref="B364:D364"/>
    <mergeCell ref="B365:D365"/>
    <mergeCell ref="A372:P372"/>
    <mergeCell ref="E374:P374"/>
    <mergeCell ref="Q374:Q376"/>
    <mergeCell ref="A373:D373"/>
    <mergeCell ref="E375:G375"/>
    <mergeCell ref="H375:J375"/>
    <mergeCell ref="N375:P375"/>
    <mergeCell ref="B340:D340"/>
    <mergeCell ref="K344:M344"/>
    <mergeCell ref="A343:B345"/>
    <mergeCell ref="C343:C345"/>
    <mergeCell ref="E344:G344"/>
    <mergeCell ref="N358:P358"/>
    <mergeCell ref="C357:C359"/>
    <mergeCell ref="D357:D359"/>
    <mergeCell ref="E357:P357"/>
    <mergeCell ref="K358:M358"/>
    <mergeCell ref="H358:J358"/>
    <mergeCell ref="B355:D355"/>
    <mergeCell ref="A356:Q356"/>
    <mergeCell ref="Q357:Q359"/>
    <mergeCell ref="B353:D353"/>
    <mergeCell ref="B352:D352"/>
    <mergeCell ref="B354:D354"/>
    <mergeCell ref="A357:B359"/>
    <mergeCell ref="E358:G358"/>
    <mergeCell ref="A351:Q351"/>
    <mergeCell ref="A348:Q348"/>
    <mergeCell ref="H344:J344"/>
    <mergeCell ref="E343:P343"/>
    <mergeCell ref="N344:P344"/>
    <mergeCell ref="A341:P341"/>
    <mergeCell ref="Q343:Q345"/>
    <mergeCell ref="A347:D347"/>
    <mergeCell ref="D343:D345"/>
    <mergeCell ref="A342:D342"/>
    <mergeCell ref="B333:D333"/>
    <mergeCell ref="A329:B329"/>
    <mergeCell ref="C326:C328"/>
    <mergeCell ref="D326:D328"/>
    <mergeCell ref="A325:Q325"/>
    <mergeCell ref="Q326:Q328"/>
    <mergeCell ref="B323:D323"/>
    <mergeCell ref="B334:D334"/>
    <mergeCell ref="B339:D339"/>
    <mergeCell ref="B338:D338"/>
    <mergeCell ref="B335:D335"/>
    <mergeCell ref="B336:D336"/>
    <mergeCell ref="B337:D337"/>
    <mergeCell ref="Q308:Q310"/>
    <mergeCell ref="B332:D332"/>
    <mergeCell ref="E326:P326"/>
    <mergeCell ref="A326:B328"/>
    <mergeCell ref="N327:P327"/>
    <mergeCell ref="A330:D330"/>
    <mergeCell ref="K327:M327"/>
    <mergeCell ref="E327:G327"/>
    <mergeCell ref="B322:D322"/>
    <mergeCell ref="H327:J327"/>
    <mergeCell ref="A313:Q313"/>
    <mergeCell ref="B324:D324"/>
    <mergeCell ref="A319:Q319"/>
    <mergeCell ref="B321:D321"/>
    <mergeCell ref="B320:D320"/>
    <mergeCell ref="A284:Q284"/>
    <mergeCell ref="A312:D312"/>
    <mergeCell ref="C308:C310"/>
    <mergeCell ref="S292:S294"/>
    <mergeCell ref="R292:R294"/>
    <mergeCell ref="Q292:Q294"/>
    <mergeCell ref="E292:P292"/>
    <mergeCell ref="N293:P293"/>
    <mergeCell ref="H309:J309"/>
    <mergeCell ref="A307:D307"/>
    <mergeCell ref="A306:P306"/>
    <mergeCell ref="A305:Q305"/>
    <mergeCell ref="A304:Q304"/>
    <mergeCell ref="E308:P308"/>
    <mergeCell ref="N309:P309"/>
    <mergeCell ref="A303:Q303"/>
    <mergeCell ref="B300:D300"/>
    <mergeCell ref="B299:D299"/>
    <mergeCell ref="B298:D298"/>
    <mergeCell ref="A308:B310"/>
    <mergeCell ref="K309:M309"/>
    <mergeCell ref="D308:D310"/>
    <mergeCell ref="E309:G309"/>
    <mergeCell ref="A297:S297"/>
    <mergeCell ref="A295:B295"/>
    <mergeCell ref="B274:D274"/>
    <mergeCell ref="B275:D275"/>
    <mergeCell ref="B273:D273"/>
    <mergeCell ref="B301:D301"/>
    <mergeCell ref="C292:C294"/>
    <mergeCell ref="B290:D290"/>
    <mergeCell ref="A277:P277"/>
    <mergeCell ref="A296:D296"/>
    <mergeCell ref="D292:D294"/>
    <mergeCell ref="A283:D283"/>
    <mergeCell ref="E279:P279"/>
    <mergeCell ref="N280:P280"/>
    <mergeCell ref="H280:J280"/>
    <mergeCell ref="K280:M280"/>
    <mergeCell ref="A287:Q287"/>
    <mergeCell ref="E293:G293"/>
    <mergeCell ref="A291:Q291"/>
    <mergeCell ref="B288:D288"/>
    <mergeCell ref="A292:B294"/>
    <mergeCell ref="K293:M293"/>
    <mergeCell ref="E280:G280"/>
    <mergeCell ref="H293:J293"/>
    <mergeCell ref="B289:D289"/>
    <mergeCell ref="B269:D269"/>
    <mergeCell ref="B270:D270"/>
    <mergeCell ref="B271:D271"/>
    <mergeCell ref="B272:D272"/>
    <mergeCell ref="B276:D276"/>
    <mergeCell ref="A278:D278"/>
    <mergeCell ref="A279:B281"/>
    <mergeCell ref="A266:B266"/>
    <mergeCell ref="A267:D267"/>
    <mergeCell ref="A268:XFD268"/>
    <mergeCell ref="S279:S281"/>
    <mergeCell ref="Q279:Q281"/>
    <mergeCell ref="R279:R281"/>
    <mergeCell ref="C279:C281"/>
    <mergeCell ref="D279:D281"/>
    <mergeCell ref="R263:R265"/>
    <mergeCell ref="D263:D265"/>
    <mergeCell ref="E263:P263"/>
    <mergeCell ref="Q263:Q265"/>
    <mergeCell ref="C263:C265"/>
    <mergeCell ref="A263:B265"/>
    <mergeCell ref="S263:S265"/>
    <mergeCell ref="S246:S248"/>
    <mergeCell ref="Q246:Q248"/>
    <mergeCell ref="H264:J264"/>
    <mergeCell ref="K264:M264"/>
    <mergeCell ref="N264:P264"/>
    <mergeCell ref="E264:G264"/>
    <mergeCell ref="E246:P246"/>
    <mergeCell ref="A250:D250"/>
    <mergeCell ref="K247:M247"/>
    <mergeCell ref="B259:D259"/>
    <mergeCell ref="B260:D260"/>
    <mergeCell ref="B238:D238"/>
    <mergeCell ref="A242:S242"/>
    <mergeCell ref="A257:Q257"/>
    <mergeCell ref="A251:Q251"/>
    <mergeCell ref="A245:D245"/>
    <mergeCell ref="A262:Q262"/>
    <mergeCell ref="B258:D258"/>
    <mergeCell ref="D246:D248"/>
    <mergeCell ref="A246:B248"/>
    <mergeCell ref="C246:C248"/>
    <mergeCell ref="R246:R248"/>
    <mergeCell ref="N247:P247"/>
    <mergeCell ref="B261:D261"/>
    <mergeCell ref="E247:G247"/>
    <mergeCell ref="H247:J247"/>
    <mergeCell ref="A244:P244"/>
    <mergeCell ref="A236:S236"/>
    <mergeCell ref="E232:G232"/>
    <mergeCell ref="A243:S243"/>
    <mergeCell ref="B240:D240"/>
    <mergeCell ref="R231:R233"/>
    <mergeCell ref="S231:S233"/>
    <mergeCell ref="B239:D239"/>
    <mergeCell ref="B237:D237"/>
    <mergeCell ref="S218:S220"/>
    <mergeCell ref="A218:B220"/>
    <mergeCell ref="C218:C220"/>
    <mergeCell ref="A222:D222"/>
    <mergeCell ref="R218:R220"/>
    <mergeCell ref="E218:P218"/>
    <mergeCell ref="Q218:Q220"/>
    <mergeCell ref="N219:P219"/>
    <mergeCell ref="K219:M219"/>
    <mergeCell ref="H219:J219"/>
    <mergeCell ref="A223:Q223"/>
    <mergeCell ref="B228:D228"/>
    <mergeCell ref="A235:D235"/>
    <mergeCell ref="A234:B234"/>
    <mergeCell ref="A230:Q230"/>
    <mergeCell ref="H232:J232"/>
    <mergeCell ref="N232:P232"/>
    <mergeCell ref="A231:B233"/>
    <mergeCell ref="E219:G219"/>
    <mergeCell ref="D218:D220"/>
    <mergeCell ref="C231:C233"/>
    <mergeCell ref="E231:P231"/>
    <mergeCell ref="D231:D233"/>
    <mergeCell ref="A226:Q226"/>
    <mergeCell ref="Q231:Q233"/>
    <mergeCell ref="K232:M232"/>
    <mergeCell ref="B229:D229"/>
    <mergeCell ref="B227:D227"/>
    <mergeCell ref="B209:D209"/>
    <mergeCell ref="A217:D217"/>
    <mergeCell ref="B211:D211"/>
    <mergeCell ref="B212:D212"/>
    <mergeCell ref="B215:D215"/>
    <mergeCell ref="B213:D213"/>
    <mergeCell ref="B210:D210"/>
    <mergeCell ref="B214:D214"/>
    <mergeCell ref="A216:P216"/>
    <mergeCell ref="S157:S159"/>
    <mergeCell ref="A165:Q165"/>
    <mergeCell ref="E170:P170"/>
    <mergeCell ref="E171:G171"/>
    <mergeCell ref="A169:Q169"/>
    <mergeCell ref="R170:R172"/>
    <mergeCell ref="S170:S172"/>
    <mergeCell ref="K171:M171"/>
    <mergeCell ref="N171:P171"/>
    <mergeCell ref="D170:D172"/>
    <mergeCell ref="R157:R159"/>
    <mergeCell ref="N158:P158"/>
    <mergeCell ref="D157:D159"/>
    <mergeCell ref="A162:Q162"/>
    <mergeCell ref="Q157:Q159"/>
    <mergeCell ref="A157:B159"/>
    <mergeCell ref="E158:G158"/>
    <mergeCell ref="B208:D208"/>
    <mergeCell ref="A207:XFD207"/>
    <mergeCell ref="S202:S204"/>
    <mergeCell ref="R202:R204"/>
    <mergeCell ref="Q202:Q204"/>
    <mergeCell ref="E203:G203"/>
    <mergeCell ref="A205:B205"/>
    <mergeCell ref="R185:R187"/>
    <mergeCell ref="A206:D206"/>
    <mergeCell ref="N203:P203"/>
    <mergeCell ref="H203:J203"/>
    <mergeCell ref="A189:D189"/>
    <mergeCell ref="E186:G186"/>
    <mergeCell ref="D185:D187"/>
    <mergeCell ref="K186:M186"/>
    <mergeCell ref="C185:C187"/>
    <mergeCell ref="N186:P186"/>
    <mergeCell ref="H186:J186"/>
    <mergeCell ref="A185:B187"/>
    <mergeCell ref="A201:Q201"/>
    <mergeCell ref="B199:D199"/>
    <mergeCell ref="D202:D204"/>
    <mergeCell ref="E202:P202"/>
    <mergeCell ref="B200:D200"/>
    <mergeCell ref="K203:M203"/>
    <mergeCell ref="B198:D198"/>
    <mergeCell ref="A190:Q190"/>
    <mergeCell ref="B197:D197"/>
    <mergeCell ref="A196:Q196"/>
    <mergeCell ref="A183:P183"/>
    <mergeCell ref="S185:S187"/>
    <mergeCell ref="Q185:Q187"/>
    <mergeCell ref="E185:P185"/>
    <mergeCell ref="C202:C204"/>
    <mergeCell ref="A202:B204"/>
    <mergeCell ref="A173:B173"/>
    <mergeCell ref="Q170:Q172"/>
    <mergeCell ref="B176:D176"/>
    <mergeCell ref="B168:D168"/>
    <mergeCell ref="A184:D184"/>
    <mergeCell ref="A181:S181"/>
    <mergeCell ref="B177:D177"/>
    <mergeCell ref="A175:S175"/>
    <mergeCell ref="B178:D178"/>
    <mergeCell ref="A174:D174"/>
    <mergeCell ref="B179:D179"/>
    <mergeCell ref="A182:S182"/>
    <mergeCell ref="B150:D150"/>
    <mergeCell ref="B154:D154"/>
    <mergeCell ref="H171:J171"/>
    <mergeCell ref="C170:C172"/>
    <mergeCell ref="B167:D167"/>
    <mergeCell ref="E157:P157"/>
    <mergeCell ref="B153:D153"/>
    <mergeCell ref="A155:P155"/>
    <mergeCell ref="A161:D161"/>
    <mergeCell ref="C157:C159"/>
    <mergeCell ref="B151:D151"/>
    <mergeCell ref="B152:D152"/>
    <mergeCell ref="A170:B172"/>
    <mergeCell ref="K158:M158"/>
    <mergeCell ref="A156:D156"/>
    <mergeCell ref="H158:J158"/>
    <mergeCell ref="B166:D166"/>
    <mergeCell ref="B149:D149"/>
    <mergeCell ref="B147:D147"/>
    <mergeCell ref="A146:XFD146"/>
    <mergeCell ref="C141:C143"/>
    <mergeCell ref="A144:B144"/>
    <mergeCell ref="N142:P142"/>
    <mergeCell ref="D141:D143"/>
    <mergeCell ref="Q141:Q143"/>
    <mergeCell ref="A122:P122"/>
    <mergeCell ref="E125:G125"/>
    <mergeCell ref="S141:S143"/>
    <mergeCell ref="A145:D145"/>
    <mergeCell ref="R141:R143"/>
    <mergeCell ref="K142:M142"/>
    <mergeCell ref="E142:G142"/>
    <mergeCell ref="H142:J142"/>
    <mergeCell ref="E141:P141"/>
    <mergeCell ref="A141:B143"/>
    <mergeCell ref="B139:D139"/>
    <mergeCell ref="A140:Q140"/>
    <mergeCell ref="B148:D148"/>
    <mergeCell ref="R124:R126"/>
    <mergeCell ref="B118:D118"/>
    <mergeCell ref="C124:C126"/>
    <mergeCell ref="A128:D128"/>
    <mergeCell ref="B137:D137"/>
    <mergeCell ref="B136:D136"/>
    <mergeCell ref="Q124:Q126"/>
    <mergeCell ref="A129:Q129"/>
    <mergeCell ref="B138:D138"/>
    <mergeCell ref="A135:Q135"/>
    <mergeCell ref="K125:M125"/>
    <mergeCell ref="H125:J125"/>
    <mergeCell ref="N125:P125"/>
    <mergeCell ref="A124:B126"/>
    <mergeCell ref="A121:S121"/>
    <mergeCell ref="S124:S126"/>
    <mergeCell ref="A123:D123"/>
    <mergeCell ref="A120:S120"/>
    <mergeCell ref="E124:P124"/>
    <mergeCell ref="A100:D100"/>
    <mergeCell ref="A96:B98"/>
    <mergeCell ref="Q96:Q98"/>
    <mergeCell ref="E97:G97"/>
    <mergeCell ref="N97:P97"/>
    <mergeCell ref="S109:S111"/>
    <mergeCell ref="E110:G110"/>
    <mergeCell ref="E109:P109"/>
    <mergeCell ref="R109:R111"/>
    <mergeCell ref="Q109:Q111"/>
    <mergeCell ref="B117:D117"/>
    <mergeCell ref="A112:B112"/>
    <mergeCell ref="D124:D126"/>
    <mergeCell ref="A113:D113"/>
    <mergeCell ref="B87:D87"/>
    <mergeCell ref="B106:D106"/>
    <mergeCell ref="B107:D107"/>
    <mergeCell ref="A109:B111"/>
    <mergeCell ref="C109:C111"/>
    <mergeCell ref="D109:D111"/>
    <mergeCell ref="B93:D93"/>
    <mergeCell ref="B90:D90"/>
    <mergeCell ref="A101:Q101"/>
    <mergeCell ref="B116:D116"/>
    <mergeCell ref="A114:S114"/>
    <mergeCell ref="B115:D115"/>
    <mergeCell ref="S96:S98"/>
    <mergeCell ref="N110:P110"/>
    <mergeCell ref="H110:J110"/>
    <mergeCell ref="H97:J97"/>
    <mergeCell ref="A104:Q104"/>
    <mergeCell ref="A108:Q108"/>
    <mergeCell ref="K110:M110"/>
    <mergeCell ref="B105:D105"/>
    <mergeCell ref="S81:S83"/>
    <mergeCell ref="B92:D92"/>
    <mergeCell ref="C96:C98"/>
    <mergeCell ref="K97:M97"/>
    <mergeCell ref="D96:D98"/>
    <mergeCell ref="A94:P94"/>
    <mergeCell ref="A95:D95"/>
    <mergeCell ref="B91:D91"/>
    <mergeCell ref="B89:D89"/>
    <mergeCell ref="B88:D88"/>
    <mergeCell ref="A85:D85"/>
    <mergeCell ref="A84:B84"/>
    <mergeCell ref="R96:R98"/>
    <mergeCell ref="E96:P96"/>
    <mergeCell ref="A80:Q80"/>
    <mergeCell ref="K82:M82"/>
    <mergeCell ref="A81:B83"/>
    <mergeCell ref="C81:C83"/>
    <mergeCell ref="D81:D83"/>
    <mergeCell ref="H82:J82"/>
    <mergeCell ref="R81:R83"/>
    <mergeCell ref="Q81:Q83"/>
    <mergeCell ref="N82:P82"/>
    <mergeCell ref="E82:G82"/>
    <mergeCell ref="E81:P81"/>
    <mergeCell ref="B79:D79"/>
    <mergeCell ref="B78:D78"/>
    <mergeCell ref="A64:D64"/>
    <mergeCell ref="A65:B67"/>
    <mergeCell ref="A75:Q75"/>
    <mergeCell ref="B76:D76"/>
    <mergeCell ref="A70:Q70"/>
    <mergeCell ref="A69:D69"/>
    <mergeCell ref="N66:P66"/>
    <mergeCell ref="A63:P63"/>
    <mergeCell ref="C65:C67"/>
    <mergeCell ref="D65:D67"/>
    <mergeCell ref="E66:G66"/>
    <mergeCell ref="B77:D77"/>
    <mergeCell ref="S50:S52"/>
    <mergeCell ref="R50:R52"/>
    <mergeCell ref="A61:S61"/>
    <mergeCell ref="A62:S62"/>
    <mergeCell ref="S65:S67"/>
    <mergeCell ref="R65:R67"/>
    <mergeCell ref="K66:M66"/>
    <mergeCell ref="H66:J66"/>
    <mergeCell ref="Q65:Q67"/>
    <mergeCell ref="E65:P65"/>
    <mergeCell ref="B58:D58"/>
    <mergeCell ref="B59:D59"/>
    <mergeCell ref="B57:D57"/>
    <mergeCell ref="B56:D56"/>
    <mergeCell ref="B48:D48"/>
    <mergeCell ref="A55:S55"/>
    <mergeCell ref="A54:D54"/>
    <mergeCell ref="D50:D52"/>
    <mergeCell ref="E50:P50"/>
    <mergeCell ref="A53:B53"/>
    <mergeCell ref="S37:S39"/>
    <mergeCell ref="E38:G38"/>
    <mergeCell ref="R37:R39"/>
    <mergeCell ref="K38:M38"/>
    <mergeCell ref="N38:P38"/>
    <mergeCell ref="Q37:Q39"/>
    <mergeCell ref="Q50:Q52"/>
    <mergeCell ref="A49:Q49"/>
    <mergeCell ref="H51:J51"/>
    <mergeCell ref="A50:B52"/>
    <mergeCell ref="K51:M51"/>
    <mergeCell ref="C50:C52"/>
    <mergeCell ref="N51:P51"/>
    <mergeCell ref="E51:G51"/>
    <mergeCell ref="A42:Q42"/>
    <mergeCell ref="C37:C39"/>
    <mergeCell ref="D37:D39"/>
    <mergeCell ref="A41:D41"/>
    <mergeCell ref="S22:S24"/>
    <mergeCell ref="A22:B24"/>
    <mergeCell ref="R22:R24"/>
    <mergeCell ref="E23:G23"/>
    <mergeCell ref="N23:P23"/>
    <mergeCell ref="A16:Q16"/>
    <mergeCell ref="C22:C24"/>
    <mergeCell ref="B47:D47"/>
    <mergeCell ref="H38:J38"/>
    <mergeCell ref="E37:P37"/>
    <mergeCell ref="A45:Q45"/>
    <mergeCell ref="B46:D46"/>
    <mergeCell ref="B30:D30"/>
    <mergeCell ref="K23:M23"/>
    <mergeCell ref="E22:P22"/>
    <mergeCell ref="B17:D17"/>
    <mergeCell ref="A37:B39"/>
    <mergeCell ref="B29:D29"/>
    <mergeCell ref="B31:D31"/>
    <mergeCell ref="A35:P35"/>
    <mergeCell ref="A36:D36"/>
    <mergeCell ref="B34:D34"/>
    <mergeCell ref="B32:D32"/>
    <mergeCell ref="B33:D33"/>
    <mergeCell ref="D22:D24"/>
    <mergeCell ref="H23:J23"/>
    <mergeCell ref="B28:D28"/>
    <mergeCell ref="A26:D26"/>
    <mergeCell ref="B20:D20"/>
    <mergeCell ref="A21:Q21"/>
    <mergeCell ref="D6:D8"/>
    <mergeCell ref="Q22:Q24"/>
    <mergeCell ref="B19:D19"/>
    <mergeCell ref="A25:B25"/>
    <mergeCell ref="A2:S2"/>
    <mergeCell ref="A3:S3"/>
    <mergeCell ref="A4:P4"/>
    <mergeCell ref="A5:D5"/>
    <mergeCell ref="C6:C8"/>
    <mergeCell ref="B18:D18"/>
    <mergeCell ref="S6:S8"/>
    <mergeCell ref="E7:G7"/>
    <mergeCell ref="Q6:Q8"/>
    <mergeCell ref="K7:M7"/>
    <mergeCell ref="H7:J7"/>
    <mergeCell ref="N7:P7"/>
    <mergeCell ref="R6:R8"/>
    <mergeCell ref="A6:B8"/>
    <mergeCell ref="A10:D10"/>
    <mergeCell ref="E6:P6"/>
    <mergeCell ref="A11:Q11"/>
  </mergeCells>
  <phoneticPr fontId="0" type="noConversion"/>
  <hyperlinks>
    <hyperlink ref="A1" location="Главная!A1" display="Переход на главную страницу"/>
  </hyperlinks>
  <pageMargins left="0.39370078740157483" right="0.19685039370078741" top="0.59055118110236227" bottom="0.39370078740157483" header="0.51181102362204722" footer="0.19685039370078741"/>
  <pageSetup paperSize="9" scale="44" fitToHeight="3" orientation="landscape" r:id="rId1"/>
  <headerFooter alignWithMargins="0">
    <oddFooter>&amp;R&amp;P</oddFooter>
  </headerFooter>
  <rowBreaks count="1" manualBreakCount="1">
    <brk id="34" max="18" man="1"/>
  </rowBreaks>
  <drawing r:id="rId2"/>
</worksheet>
</file>

<file path=xl/worksheets/sheet40.xml><?xml version="1.0" encoding="utf-8"?>
<worksheet xmlns="http://schemas.openxmlformats.org/spreadsheetml/2006/main" xmlns:r="http://schemas.openxmlformats.org/officeDocument/2006/relationships">
  <dimension ref="A1"/>
  <sheetViews>
    <sheetView workbookViewId="0">
      <selection activeCell="F5" sqref="F5"/>
    </sheetView>
  </sheetViews>
  <sheetFormatPr defaultRowHeight="15"/>
  <sheetData/>
  <phoneticPr fontId="0" type="noConversion"/>
  <pageMargins left="0.7" right="0.7" top="0.75" bottom="0.75" header="0.3" footer="0.3"/>
  <pageSetup paperSize="9" orientation="portrait" horizontalDpi="180" verticalDpi="180" r:id="rId1"/>
</worksheet>
</file>

<file path=xl/worksheets/sheet41.xml><?xml version="1.0" encoding="utf-8"?>
<worksheet xmlns="http://schemas.openxmlformats.org/spreadsheetml/2006/main" xmlns:r="http://schemas.openxmlformats.org/officeDocument/2006/relationships">
  <dimension ref="A1"/>
  <sheetViews>
    <sheetView workbookViewId="0">
      <selection activeCell="L21" sqref="L21"/>
    </sheetView>
  </sheetViews>
  <sheetFormatPr defaultRowHeight="15"/>
  <sheetData/>
  <phoneticPr fontId="0" type="noConversion"/>
  <pageMargins left="0.7" right="0.7" top="0.75" bottom="0.75" header="0.3" footer="0.3"/>
  <pageSetup paperSize="9" orientation="portrait" horizontalDpi="180" verticalDpi="180" r:id="rId1"/>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I290"/>
  <sheetViews>
    <sheetView showGridLines="0" view="pageBreakPreview" topLeftCell="A253" zoomScale="75" zoomScaleNormal="80" workbookViewId="0">
      <selection activeCell="I277" sqref="I277"/>
    </sheetView>
  </sheetViews>
  <sheetFormatPr defaultRowHeight="15.75"/>
  <cols>
    <col min="1" max="1" width="39.28515625" customWidth="1"/>
    <col min="2" max="2" width="15.28515625" style="233" customWidth="1"/>
    <col min="3" max="3" width="20.5703125" style="233" customWidth="1"/>
    <col min="4" max="4" width="15.140625" style="233" customWidth="1"/>
    <col min="5" max="5" width="19" style="233" customWidth="1"/>
    <col min="6" max="6" width="17.5703125" style="233" customWidth="1"/>
    <col min="7" max="7" width="19.28515625" style="233" customWidth="1"/>
    <col min="8" max="8" width="18.42578125" style="233" customWidth="1"/>
    <col min="9" max="9" width="23.42578125" style="233" customWidth="1"/>
    <col min="10" max="10" width="18.42578125" customWidth="1"/>
  </cols>
  <sheetData>
    <row r="1" spans="1:9">
      <c r="A1" s="79" t="s">
        <v>724</v>
      </c>
      <c r="B1" s="232"/>
      <c r="H1" s="233" t="s">
        <v>678</v>
      </c>
    </row>
    <row r="2" spans="1:9" ht="30" customHeight="1">
      <c r="A2" s="234"/>
      <c r="B2" s="1628" t="s">
        <v>679</v>
      </c>
      <c r="C2" s="1628"/>
      <c r="D2" s="1628"/>
      <c r="E2" s="1628"/>
      <c r="F2" s="1628"/>
      <c r="G2" s="1628"/>
      <c r="H2" s="1628"/>
      <c r="I2" s="1628"/>
    </row>
    <row r="3" spans="1:9" ht="18.75" customHeight="1">
      <c r="A3" s="1625" t="s">
        <v>680</v>
      </c>
      <c r="B3" s="1626"/>
      <c r="C3" s="1626"/>
      <c r="D3" s="1626"/>
      <c r="E3" s="1626"/>
      <c r="F3" s="1626"/>
      <c r="G3" s="1626"/>
      <c r="H3" s="1627"/>
      <c r="I3"/>
    </row>
    <row r="4" spans="1:9" ht="78.75" customHeight="1">
      <c r="A4" s="235" t="s">
        <v>681</v>
      </c>
      <c r="B4" s="235" t="s">
        <v>682</v>
      </c>
      <c r="C4" s="235" t="s">
        <v>683</v>
      </c>
      <c r="D4" s="235" t="s">
        <v>684</v>
      </c>
      <c r="E4" s="235" t="s">
        <v>685</v>
      </c>
      <c r="F4" s="235" t="s">
        <v>686</v>
      </c>
      <c r="G4" s="235" t="s">
        <v>687</v>
      </c>
      <c r="H4" s="236" t="s">
        <v>688</v>
      </c>
      <c r="I4"/>
    </row>
    <row r="5" spans="1:9" ht="17.25" customHeight="1">
      <c r="A5" s="237" t="s">
        <v>1471</v>
      </c>
      <c r="B5" s="238">
        <v>10658541</v>
      </c>
      <c r="C5" s="239">
        <v>70.989999999999995</v>
      </c>
      <c r="D5" s="237">
        <v>48590</v>
      </c>
      <c r="E5" s="237">
        <v>43.3</v>
      </c>
      <c r="F5" s="237">
        <f>E5*B5/1000</f>
        <v>461514.82529999997</v>
      </c>
      <c r="G5" s="237">
        <f>D5*C5</f>
        <v>3449404.0999999996</v>
      </c>
      <c r="H5" s="237">
        <f>F5+G5</f>
        <v>3910918.9252999998</v>
      </c>
      <c r="I5"/>
    </row>
    <row r="6" spans="1:9" ht="17.25" customHeight="1">
      <c r="A6" s="237" t="s">
        <v>1472</v>
      </c>
      <c r="B6" s="238">
        <v>11009581</v>
      </c>
      <c r="C6" s="239">
        <v>72.209000000000003</v>
      </c>
      <c r="D6" s="237">
        <v>48590</v>
      </c>
      <c r="E6" s="237">
        <v>43.3</v>
      </c>
      <c r="F6" s="237">
        <f t="shared" ref="F6:F16" si="0">E6*B6/1000</f>
        <v>476714.85729999997</v>
      </c>
      <c r="G6" s="237">
        <f t="shared" ref="G6:G16" si="1">D6*C6</f>
        <v>3508635.31</v>
      </c>
      <c r="H6" s="237">
        <f t="shared" ref="H6:H17" si="2">F6+G6</f>
        <v>3985350.1672999999</v>
      </c>
      <c r="I6"/>
    </row>
    <row r="7" spans="1:9" ht="17.25" customHeight="1">
      <c r="A7" s="237" t="s">
        <v>1473</v>
      </c>
      <c r="B7" s="238">
        <v>14162983</v>
      </c>
      <c r="C7" s="239">
        <v>67.400000000000006</v>
      </c>
      <c r="D7" s="237">
        <v>48590</v>
      </c>
      <c r="E7" s="237">
        <v>43.3</v>
      </c>
      <c r="F7" s="237">
        <f t="shared" si="0"/>
        <v>613257.16389999993</v>
      </c>
      <c r="G7" s="237">
        <f t="shared" si="1"/>
        <v>3274966.0000000005</v>
      </c>
      <c r="H7" s="237">
        <f t="shared" si="2"/>
        <v>3888223.1639000005</v>
      </c>
      <c r="I7"/>
    </row>
    <row r="8" spans="1:9" ht="17.25" customHeight="1">
      <c r="A8" s="237" t="s">
        <v>1474</v>
      </c>
      <c r="B8" s="238">
        <v>14911615</v>
      </c>
      <c r="C8" s="239">
        <v>64.899000000000001</v>
      </c>
      <c r="D8" s="237">
        <v>48590</v>
      </c>
      <c r="E8" s="237">
        <v>43.3</v>
      </c>
      <c r="F8" s="237">
        <f t="shared" si="0"/>
        <v>645672.92949999997</v>
      </c>
      <c r="G8" s="237">
        <f t="shared" si="1"/>
        <v>3153442.41</v>
      </c>
      <c r="H8" s="237">
        <f t="shared" si="2"/>
        <v>3799115.3395000002</v>
      </c>
      <c r="I8"/>
    </row>
    <row r="9" spans="1:9" ht="17.25" customHeight="1">
      <c r="A9" s="237" t="s">
        <v>1475</v>
      </c>
      <c r="B9" s="238">
        <v>14626374</v>
      </c>
      <c r="C9" s="239">
        <v>61.031999999999996</v>
      </c>
      <c r="D9" s="237">
        <v>48590</v>
      </c>
      <c r="E9" s="237">
        <v>43.3</v>
      </c>
      <c r="F9" s="237">
        <f t="shared" si="0"/>
        <v>633321.99419999996</v>
      </c>
      <c r="G9" s="237">
        <f t="shared" si="1"/>
        <v>2965544.88</v>
      </c>
      <c r="H9" s="237">
        <f t="shared" si="2"/>
        <v>3598866.8742</v>
      </c>
      <c r="I9"/>
    </row>
    <row r="10" spans="1:9" ht="17.25" customHeight="1">
      <c r="A10" s="237" t="s">
        <v>1476</v>
      </c>
      <c r="B10" s="238">
        <v>13104435</v>
      </c>
      <c r="C10" s="239">
        <v>63.91</v>
      </c>
      <c r="D10" s="237">
        <v>48590</v>
      </c>
      <c r="E10" s="237">
        <v>43.3</v>
      </c>
      <c r="F10" s="237">
        <f t="shared" si="0"/>
        <v>567422.0355</v>
      </c>
      <c r="G10" s="237">
        <f t="shared" si="1"/>
        <v>3105386.9</v>
      </c>
      <c r="H10" s="237">
        <f t="shared" si="2"/>
        <v>3672808.9354999997</v>
      </c>
      <c r="I10"/>
    </row>
    <row r="11" spans="1:9" ht="17.25" customHeight="1">
      <c r="A11" s="237" t="s">
        <v>1477</v>
      </c>
      <c r="B11" s="238">
        <v>11595042</v>
      </c>
      <c r="C11" s="239">
        <v>68.004000000000005</v>
      </c>
      <c r="D11" s="237">
        <v>48590</v>
      </c>
      <c r="E11" s="237">
        <v>43.3</v>
      </c>
      <c r="F11" s="237">
        <f t="shared" si="0"/>
        <v>502065.31859999994</v>
      </c>
      <c r="G11" s="237">
        <f t="shared" si="1"/>
        <v>3304314.3600000003</v>
      </c>
      <c r="H11" s="237">
        <f t="shared" si="2"/>
        <v>3806379.6786000002</v>
      </c>
      <c r="I11"/>
    </row>
    <row r="12" spans="1:9" ht="17.25" customHeight="1">
      <c r="A12" s="237" t="s">
        <v>1478</v>
      </c>
      <c r="B12" s="238">
        <v>5221989</v>
      </c>
      <c r="C12" s="239">
        <v>59.673000000000002</v>
      </c>
      <c r="D12" s="237">
        <v>48590</v>
      </c>
      <c r="E12" s="237">
        <v>43.3</v>
      </c>
      <c r="F12" s="237">
        <f t="shared" si="0"/>
        <v>226112.1237</v>
      </c>
      <c r="G12" s="237">
        <f t="shared" si="1"/>
        <v>2899511.0700000003</v>
      </c>
      <c r="H12" s="237">
        <f t="shared" si="2"/>
        <v>3125623.1937000002</v>
      </c>
      <c r="I12"/>
    </row>
    <row r="13" spans="1:9" ht="17.25" customHeight="1">
      <c r="A13" s="237" t="s">
        <v>1479</v>
      </c>
      <c r="B13" s="238">
        <v>8277402</v>
      </c>
      <c r="C13" s="239">
        <v>55.094000000000001</v>
      </c>
      <c r="D13" s="237">
        <v>48590</v>
      </c>
      <c r="E13" s="237">
        <v>43.3</v>
      </c>
      <c r="F13" s="237">
        <f t="shared" si="0"/>
        <v>358411.50659999996</v>
      </c>
      <c r="G13" s="237">
        <f t="shared" si="1"/>
        <v>2677017.46</v>
      </c>
      <c r="H13" s="237">
        <f t="shared" si="2"/>
        <v>3035428.9665999999</v>
      </c>
      <c r="I13"/>
    </row>
    <row r="14" spans="1:9" ht="17.25" customHeight="1">
      <c r="A14" s="237" t="s">
        <v>1480</v>
      </c>
      <c r="B14" s="238">
        <v>9855455</v>
      </c>
      <c r="C14" s="239">
        <v>66.275999999999996</v>
      </c>
      <c r="D14" s="237">
        <v>48590</v>
      </c>
      <c r="E14" s="237">
        <v>43.3</v>
      </c>
      <c r="F14" s="237">
        <f t="shared" si="0"/>
        <v>426741.20150000002</v>
      </c>
      <c r="G14" s="237">
        <f t="shared" si="1"/>
        <v>3220350.84</v>
      </c>
      <c r="H14" s="237">
        <f t="shared" si="2"/>
        <v>3647092.0414999998</v>
      </c>
      <c r="I14"/>
    </row>
    <row r="15" spans="1:9" ht="17.25" customHeight="1">
      <c r="A15" s="237" t="s">
        <v>1481</v>
      </c>
      <c r="B15" s="238">
        <v>12142223</v>
      </c>
      <c r="C15" s="239">
        <v>70.334999999999994</v>
      </c>
      <c r="D15" s="237">
        <v>48590</v>
      </c>
      <c r="E15" s="237">
        <v>43.3</v>
      </c>
      <c r="F15" s="237">
        <f t="shared" si="0"/>
        <v>525758.25589999999</v>
      </c>
      <c r="G15" s="237">
        <f t="shared" si="1"/>
        <v>3417577.65</v>
      </c>
      <c r="H15" s="237">
        <f t="shared" si="2"/>
        <v>3943335.9058999997</v>
      </c>
      <c r="I15"/>
    </row>
    <row r="16" spans="1:9" ht="17.25" customHeight="1">
      <c r="A16" s="237" t="s">
        <v>4522</v>
      </c>
      <c r="B16" s="238">
        <v>12393317</v>
      </c>
      <c r="C16" s="239">
        <v>77.63</v>
      </c>
      <c r="D16" s="237">
        <v>48590</v>
      </c>
      <c r="E16" s="237">
        <v>43.3</v>
      </c>
      <c r="F16" s="237">
        <f t="shared" si="0"/>
        <v>536630.62609999999</v>
      </c>
      <c r="G16" s="237">
        <f t="shared" si="1"/>
        <v>3772041.6999999997</v>
      </c>
      <c r="H16" s="237">
        <f t="shared" si="2"/>
        <v>4308672.3260999992</v>
      </c>
      <c r="I16"/>
    </row>
    <row r="17" spans="1:9" ht="17.25" customHeight="1">
      <c r="A17" s="237" t="s">
        <v>689</v>
      </c>
      <c r="B17" s="238">
        <f>SUM(B5:B16)</f>
        <v>137958957</v>
      </c>
      <c r="C17" s="237"/>
      <c r="D17" s="237"/>
      <c r="E17" s="237"/>
      <c r="F17" s="240">
        <f>SUM(F5:F16)</f>
        <v>5973622.8381000003</v>
      </c>
      <c r="G17" s="240">
        <f>SUM(G5:G16)</f>
        <v>38748192.68</v>
      </c>
      <c r="H17" s="240">
        <f t="shared" si="2"/>
        <v>44721815.518100001</v>
      </c>
      <c r="I17"/>
    </row>
    <row r="18" spans="1:9" ht="30" customHeight="1">
      <c r="A18" s="1628" t="s">
        <v>690</v>
      </c>
      <c r="B18" s="1628"/>
      <c r="C18" s="1628"/>
      <c r="D18" s="1628"/>
      <c r="E18" s="1628"/>
      <c r="F18" s="1628"/>
      <c r="G18" s="1628"/>
      <c r="H18" s="1628"/>
      <c r="I18"/>
    </row>
    <row r="19" spans="1:9" ht="15.75" customHeight="1">
      <c r="A19" s="1625" t="s">
        <v>691</v>
      </c>
      <c r="B19" s="1626"/>
      <c r="C19" s="1626"/>
      <c r="D19" s="1626"/>
      <c r="E19" s="1626"/>
      <c r="F19" s="1626"/>
      <c r="G19" s="1626"/>
      <c r="H19" s="1627"/>
      <c r="I19"/>
    </row>
    <row r="20" spans="1:9" ht="78.75">
      <c r="A20" s="235" t="s">
        <v>681</v>
      </c>
      <c r="B20" s="235" t="s">
        <v>682</v>
      </c>
      <c r="C20" s="235" t="s">
        <v>683</v>
      </c>
      <c r="D20" s="235" t="s">
        <v>684</v>
      </c>
      <c r="E20" s="235" t="s">
        <v>685</v>
      </c>
      <c r="F20" s="235" t="s">
        <v>686</v>
      </c>
      <c r="G20" s="235" t="s">
        <v>687</v>
      </c>
      <c r="H20" s="236" t="s">
        <v>688</v>
      </c>
      <c r="I20"/>
    </row>
    <row r="21" spans="1:9">
      <c r="A21" s="237" t="s">
        <v>1471</v>
      </c>
      <c r="B21" s="238">
        <v>12372363</v>
      </c>
      <c r="C21" s="239">
        <f>58.274+5.332</f>
        <v>63.606000000000002</v>
      </c>
      <c r="D21" s="237">
        <v>55002.9</v>
      </c>
      <c r="E21" s="237">
        <v>51.24</v>
      </c>
      <c r="F21" s="237">
        <f>E21*B21/1000</f>
        <v>633959.88011999999</v>
      </c>
      <c r="G21" s="237">
        <f>D21*C21</f>
        <v>3498514.4574000002</v>
      </c>
      <c r="H21" s="237">
        <f>F21+G21</f>
        <v>4132474.3375200001</v>
      </c>
      <c r="I21"/>
    </row>
    <row r="22" spans="1:9">
      <c r="A22" s="237" t="s">
        <v>1472</v>
      </c>
      <c r="B22" s="238">
        <v>12888440</v>
      </c>
      <c r="C22" s="239">
        <f>64.433+5.15</f>
        <v>69.583000000000013</v>
      </c>
      <c r="D22" s="237">
        <v>55002.9</v>
      </c>
      <c r="E22" s="237">
        <v>51.24</v>
      </c>
      <c r="F22" s="237">
        <f t="shared" ref="F22:F32" si="3">E22*B22/1000</f>
        <v>660403.66560000007</v>
      </c>
      <c r="G22" s="237">
        <f t="shared" ref="G22:G32" si="4">D22*C22</f>
        <v>3827266.7907000007</v>
      </c>
      <c r="H22" s="237">
        <f t="shared" ref="H22:H33" si="5">F22+G22</f>
        <v>4487670.4563000007</v>
      </c>
      <c r="I22"/>
    </row>
    <row r="23" spans="1:9">
      <c r="A23" s="237" t="s">
        <v>1473</v>
      </c>
      <c r="B23" s="238">
        <v>14367840</v>
      </c>
      <c r="C23" s="239">
        <f>60.164+4.227</f>
        <v>64.391000000000005</v>
      </c>
      <c r="D23" s="237">
        <v>55002.9</v>
      </c>
      <c r="E23" s="237">
        <v>51.24</v>
      </c>
      <c r="F23" s="237">
        <f t="shared" si="3"/>
        <v>736208.12160000007</v>
      </c>
      <c r="G23" s="237">
        <f t="shared" si="4"/>
        <v>3541691.7339000003</v>
      </c>
      <c r="H23" s="237">
        <f t="shared" si="5"/>
        <v>4277899.8555000005</v>
      </c>
      <c r="I23"/>
    </row>
    <row r="24" spans="1:9">
      <c r="A24" s="237" t="s">
        <v>1474</v>
      </c>
      <c r="B24" s="238">
        <v>14334883</v>
      </c>
      <c r="C24" s="239">
        <f>58.716+3.805</f>
        <v>62.521000000000001</v>
      </c>
      <c r="D24" s="237">
        <v>55002.9</v>
      </c>
      <c r="E24" s="237">
        <v>51.24</v>
      </c>
      <c r="F24" s="237">
        <f t="shared" si="3"/>
        <v>734519.40492000012</v>
      </c>
      <c r="G24" s="237">
        <f t="shared" si="4"/>
        <v>3438836.3108999999</v>
      </c>
      <c r="H24" s="237">
        <f t="shared" si="5"/>
        <v>4173355.71582</v>
      </c>
      <c r="I24"/>
    </row>
    <row r="25" spans="1:9">
      <c r="A25" s="237" t="s">
        <v>1475</v>
      </c>
      <c r="B25" s="238">
        <v>11896950</v>
      </c>
      <c r="C25" s="239">
        <f>57.287+3.664</f>
        <v>60.951000000000001</v>
      </c>
      <c r="D25" s="237">
        <v>55002.9</v>
      </c>
      <c r="E25" s="237">
        <v>51.24</v>
      </c>
      <c r="F25" s="237">
        <f t="shared" si="3"/>
        <v>609599.71799999999</v>
      </c>
      <c r="G25" s="237">
        <f t="shared" si="4"/>
        <v>3352481.7579000001</v>
      </c>
      <c r="H25" s="237">
        <f t="shared" si="5"/>
        <v>3962081.4759</v>
      </c>
      <c r="I25"/>
    </row>
    <row r="26" spans="1:9">
      <c r="A26" s="237" t="s">
        <v>1476</v>
      </c>
      <c r="B26" s="238">
        <v>11562083</v>
      </c>
      <c r="C26" s="239">
        <f>58.938+3.338</f>
        <v>62.276000000000003</v>
      </c>
      <c r="D26" s="237">
        <v>55002.9</v>
      </c>
      <c r="E26" s="237">
        <v>51.24</v>
      </c>
      <c r="F26" s="237">
        <f t="shared" si="3"/>
        <v>592441.13292000012</v>
      </c>
      <c r="G26" s="237">
        <f t="shared" si="4"/>
        <v>3425360.6004000003</v>
      </c>
      <c r="H26" s="237">
        <f t="shared" si="5"/>
        <v>4017801.7333200006</v>
      </c>
      <c r="I26"/>
    </row>
    <row r="27" spans="1:9">
      <c r="A27" s="237" t="s">
        <v>1477</v>
      </c>
      <c r="B27" s="238">
        <v>11795915</v>
      </c>
      <c r="C27" s="239">
        <f>58.33+3.54</f>
        <v>61.87</v>
      </c>
      <c r="D27" s="237">
        <v>55002.9</v>
      </c>
      <c r="E27" s="237">
        <v>51.24</v>
      </c>
      <c r="F27" s="237">
        <f t="shared" si="3"/>
        <v>604422.68460000004</v>
      </c>
      <c r="G27" s="237">
        <f t="shared" si="4"/>
        <v>3403029.423</v>
      </c>
      <c r="H27" s="237">
        <f t="shared" si="5"/>
        <v>4007452.1075999998</v>
      </c>
      <c r="I27"/>
    </row>
    <row r="28" spans="1:9">
      <c r="A28" s="237" t="s">
        <v>1478</v>
      </c>
      <c r="B28" s="238">
        <v>5796867</v>
      </c>
      <c r="C28" s="239">
        <f>45.139+3.583</f>
        <v>48.722000000000001</v>
      </c>
      <c r="D28" s="237">
        <v>55002.9</v>
      </c>
      <c r="E28" s="237">
        <v>51.24</v>
      </c>
      <c r="F28" s="237">
        <f t="shared" si="3"/>
        <v>297031.46507999999</v>
      </c>
      <c r="G28" s="237">
        <f t="shared" si="4"/>
        <v>2679851.2938000001</v>
      </c>
      <c r="H28" s="237">
        <f t="shared" si="5"/>
        <v>2976882.7588800001</v>
      </c>
      <c r="I28"/>
    </row>
    <row r="29" spans="1:9">
      <c r="A29" s="237" t="s">
        <v>1479</v>
      </c>
      <c r="B29" s="238">
        <v>6110658</v>
      </c>
      <c r="C29" s="239">
        <f>43.456+3.878</f>
        <v>47.334000000000003</v>
      </c>
      <c r="D29" s="237">
        <v>55002.9</v>
      </c>
      <c r="E29" s="237">
        <v>51.24</v>
      </c>
      <c r="F29" s="237">
        <f t="shared" si="3"/>
        <v>313110.11592000001</v>
      </c>
      <c r="G29" s="237">
        <f t="shared" si="4"/>
        <v>2603507.2686000001</v>
      </c>
      <c r="H29" s="237">
        <f t="shared" si="5"/>
        <v>2916617.3845199998</v>
      </c>
      <c r="I29"/>
    </row>
    <row r="30" spans="1:9">
      <c r="A30" s="237" t="s">
        <v>1480</v>
      </c>
      <c r="B30" s="238">
        <v>11314043</v>
      </c>
      <c r="C30" s="239">
        <f>60.766+4.443</f>
        <v>65.209000000000003</v>
      </c>
      <c r="D30" s="237">
        <v>55002.9</v>
      </c>
      <c r="E30" s="237">
        <v>51.24</v>
      </c>
      <c r="F30" s="237">
        <f t="shared" si="3"/>
        <v>579731.56332000007</v>
      </c>
      <c r="G30" s="237">
        <f t="shared" si="4"/>
        <v>3586684.1061000004</v>
      </c>
      <c r="H30" s="237">
        <f t="shared" si="5"/>
        <v>4166415.6694200006</v>
      </c>
      <c r="I30"/>
    </row>
    <row r="31" spans="1:9">
      <c r="A31" s="237" t="s">
        <v>1481</v>
      </c>
      <c r="B31" s="238">
        <v>11252375</v>
      </c>
      <c r="C31" s="239">
        <f>63.747+4.628</f>
        <v>68.375</v>
      </c>
      <c r="D31" s="237">
        <v>55002.9</v>
      </c>
      <c r="E31" s="237">
        <v>51.24</v>
      </c>
      <c r="F31" s="237">
        <f t="shared" si="3"/>
        <v>576571.69499999995</v>
      </c>
      <c r="G31" s="237">
        <f t="shared" si="4"/>
        <v>3760823.2875000001</v>
      </c>
      <c r="H31" s="237">
        <f t="shared" si="5"/>
        <v>4337394.9824999999</v>
      </c>
      <c r="I31"/>
    </row>
    <row r="32" spans="1:9">
      <c r="A32" s="237" t="s">
        <v>4522</v>
      </c>
      <c r="B32" s="238">
        <v>12480002</v>
      </c>
      <c r="C32" s="239">
        <f>53.142+5.467</f>
        <v>58.609000000000002</v>
      </c>
      <c r="D32" s="237">
        <v>55002.9</v>
      </c>
      <c r="E32" s="237">
        <v>51.24</v>
      </c>
      <c r="F32" s="237">
        <f t="shared" si="3"/>
        <v>639475.30248000007</v>
      </c>
      <c r="G32" s="237">
        <f t="shared" si="4"/>
        <v>3223664.9661000003</v>
      </c>
      <c r="H32" s="237">
        <f t="shared" si="5"/>
        <v>3863140.2685800004</v>
      </c>
      <c r="I32"/>
    </row>
    <row r="33" spans="1:9">
      <c r="A33" s="237" t="s">
        <v>689</v>
      </c>
      <c r="B33" s="238">
        <f>SUM(B21:B32)</f>
        <v>136172419</v>
      </c>
      <c r="C33" s="237"/>
      <c r="D33" s="237"/>
      <c r="E33" s="237"/>
      <c r="F33" s="240">
        <f>SUM(F21:F32)</f>
        <v>6977474.7495599994</v>
      </c>
      <c r="G33" s="240">
        <f>SUM(G21:G32)</f>
        <v>40341711.996300004</v>
      </c>
      <c r="H33" s="240">
        <f t="shared" si="5"/>
        <v>47319186.745860003</v>
      </c>
      <c r="I33"/>
    </row>
    <row r="34" spans="1:9" ht="30" customHeight="1">
      <c r="A34" s="1628" t="s">
        <v>692</v>
      </c>
      <c r="B34" s="1628"/>
      <c r="C34" s="1628"/>
      <c r="D34" s="1628"/>
      <c r="E34" s="1628"/>
      <c r="F34" s="1628"/>
      <c r="G34" s="1628"/>
      <c r="H34" s="1628"/>
      <c r="I34"/>
    </row>
    <row r="35" spans="1:9" ht="15.75" customHeight="1">
      <c r="A35" s="1625" t="s">
        <v>693</v>
      </c>
      <c r="B35" s="1626"/>
      <c r="C35" s="1626"/>
      <c r="D35" s="1626"/>
      <c r="E35" s="1626"/>
      <c r="F35" s="1626"/>
      <c r="G35" s="1626"/>
      <c r="H35" s="1627"/>
      <c r="I35"/>
    </row>
    <row r="36" spans="1:9" ht="78.75">
      <c r="A36" s="235" t="s">
        <v>681</v>
      </c>
      <c r="B36" s="235" t="s">
        <v>694</v>
      </c>
      <c r="C36" s="235" t="s">
        <v>695</v>
      </c>
      <c r="D36" s="235" t="s">
        <v>684</v>
      </c>
      <c r="E36" s="235" t="s">
        <v>685</v>
      </c>
      <c r="F36" s="235" t="s">
        <v>686</v>
      </c>
      <c r="G36" s="235" t="s">
        <v>687</v>
      </c>
      <c r="H36" s="236" t="s">
        <v>688</v>
      </c>
      <c r="I36"/>
    </row>
    <row r="37" spans="1:9">
      <c r="A37" s="237" t="s">
        <v>1471</v>
      </c>
      <c r="B37" s="238">
        <f>10053000+694820</f>
        <v>10747820</v>
      </c>
      <c r="C37" s="239">
        <f>69.831+5.291</f>
        <v>75.122</v>
      </c>
      <c r="D37" s="237">
        <v>49856.24</v>
      </c>
      <c r="E37" s="237">
        <v>100.2</v>
      </c>
      <c r="F37" s="237">
        <f>E37*B37/1000</f>
        <v>1076931.564</v>
      </c>
      <c r="G37" s="237">
        <f>D37*C37</f>
        <v>3745300.4612799999</v>
      </c>
      <c r="H37" s="237">
        <f>F37+G37</f>
        <v>4822232.0252799997</v>
      </c>
      <c r="I37"/>
    </row>
    <row r="38" spans="1:9">
      <c r="A38" s="237" t="s">
        <v>1472</v>
      </c>
      <c r="B38" s="238">
        <f>10293000+765320</f>
        <v>11058320</v>
      </c>
      <c r="C38" s="239">
        <f>69.895+4.956</f>
        <v>74.850999999999999</v>
      </c>
      <c r="D38" s="237">
        <v>49856.24</v>
      </c>
      <c r="E38" s="237">
        <v>100.2</v>
      </c>
      <c r="F38" s="237">
        <f t="shared" ref="F38:F48" si="6">E38*B38/1000</f>
        <v>1108043.6640000001</v>
      </c>
      <c r="G38" s="237">
        <f t="shared" ref="G38:G48" si="7">D38*C38</f>
        <v>3731789.4202399999</v>
      </c>
      <c r="H38" s="237">
        <f t="shared" ref="H38:H49" si="8">F38+G38</f>
        <v>4839833.0842399998</v>
      </c>
      <c r="I38"/>
    </row>
    <row r="39" spans="1:9">
      <c r="A39" s="237" t="s">
        <v>1473</v>
      </c>
      <c r="B39" s="238">
        <f>13307000+756320</f>
        <v>14063320</v>
      </c>
      <c r="C39" s="239">
        <f>77.697+4.684</f>
        <v>82.381</v>
      </c>
      <c r="D39" s="237">
        <v>49856.24</v>
      </c>
      <c r="E39" s="237">
        <v>100.2</v>
      </c>
      <c r="F39" s="237">
        <f t="shared" si="6"/>
        <v>1409144.6640000001</v>
      </c>
      <c r="G39" s="237">
        <f t="shared" si="7"/>
        <v>4107206.9074399997</v>
      </c>
      <c r="H39" s="237">
        <f t="shared" si="8"/>
        <v>5516351.5714400001</v>
      </c>
      <c r="I39"/>
    </row>
    <row r="40" spans="1:9">
      <c r="A40" s="237" t="s">
        <v>1474</v>
      </c>
      <c r="B40" s="238">
        <f>14065000+798320</f>
        <v>14863320</v>
      </c>
      <c r="C40" s="239">
        <f>69.993+4.148</f>
        <v>74.140999999999991</v>
      </c>
      <c r="D40" s="237">
        <v>49856.24</v>
      </c>
      <c r="E40" s="237">
        <v>100.2</v>
      </c>
      <c r="F40" s="237">
        <f t="shared" si="6"/>
        <v>1489304.6640000001</v>
      </c>
      <c r="G40" s="237">
        <f t="shared" si="7"/>
        <v>3696391.4898399995</v>
      </c>
      <c r="H40" s="237">
        <f t="shared" si="8"/>
        <v>5185696.1538399998</v>
      </c>
      <c r="I40"/>
    </row>
    <row r="41" spans="1:9">
      <c r="A41" s="237" t="s">
        <v>1475</v>
      </c>
      <c r="B41" s="238">
        <f>14080000+763220</f>
        <v>14843220</v>
      </c>
      <c r="C41" s="239">
        <f>63.188+3.394</f>
        <v>66.582000000000008</v>
      </c>
      <c r="D41" s="237">
        <v>49856.24</v>
      </c>
      <c r="E41" s="237">
        <v>100.2</v>
      </c>
      <c r="F41" s="237">
        <f t="shared" si="6"/>
        <v>1487290.6440000001</v>
      </c>
      <c r="G41" s="237">
        <f t="shared" si="7"/>
        <v>3319528.1716800001</v>
      </c>
      <c r="H41" s="237">
        <f t="shared" si="8"/>
        <v>4806818.81568</v>
      </c>
      <c r="I41"/>
    </row>
    <row r="42" spans="1:9">
      <c r="A42" s="237" t="s">
        <v>1476</v>
      </c>
      <c r="B42" s="238">
        <f>12423000+820220</f>
        <v>13243220</v>
      </c>
      <c r="C42" s="239">
        <f>77.855+3.474</f>
        <v>81.329000000000008</v>
      </c>
      <c r="D42" s="237">
        <v>49856.24</v>
      </c>
      <c r="E42" s="237">
        <v>100.2</v>
      </c>
      <c r="F42" s="237">
        <f t="shared" si="6"/>
        <v>1326970.6440000001</v>
      </c>
      <c r="G42" s="237">
        <f t="shared" si="7"/>
        <v>4054758.1429600003</v>
      </c>
      <c r="H42" s="237">
        <f t="shared" si="8"/>
        <v>5381728.7869600002</v>
      </c>
      <c r="I42"/>
    </row>
    <row r="43" spans="1:9">
      <c r="A43" s="237" t="s">
        <v>1477</v>
      </c>
      <c r="B43" s="238">
        <f>10916000+818200</f>
        <v>11734200</v>
      </c>
      <c r="C43" s="239">
        <f>76.607+3.691</f>
        <v>80.298000000000002</v>
      </c>
      <c r="D43" s="237">
        <v>49856.24</v>
      </c>
      <c r="E43" s="237">
        <v>100.2</v>
      </c>
      <c r="F43" s="237">
        <f t="shared" si="6"/>
        <v>1175766.8400000001</v>
      </c>
      <c r="G43" s="237">
        <f t="shared" si="7"/>
        <v>4003356.3595199999</v>
      </c>
      <c r="H43" s="237">
        <f t="shared" si="8"/>
        <v>5179123.1995200003</v>
      </c>
      <c r="I43"/>
    </row>
    <row r="44" spans="1:9">
      <c r="A44" s="237" t="s">
        <v>1478</v>
      </c>
      <c r="B44" s="238">
        <f>7678000+778200</f>
        <v>8456200</v>
      </c>
      <c r="C44" s="239">
        <f>57.718+3.597</f>
        <v>61.315000000000005</v>
      </c>
      <c r="D44" s="237">
        <v>49856.24</v>
      </c>
      <c r="E44" s="237">
        <v>100.2</v>
      </c>
      <c r="F44" s="237">
        <f t="shared" si="6"/>
        <v>847311.24</v>
      </c>
      <c r="G44" s="237">
        <f t="shared" si="7"/>
        <v>3056935.3555999999</v>
      </c>
      <c r="H44" s="237">
        <f t="shared" si="8"/>
        <v>3904246.5955999997</v>
      </c>
      <c r="I44"/>
    </row>
    <row r="45" spans="1:9">
      <c r="A45" s="237" t="s">
        <v>1479</v>
      </c>
      <c r="B45" s="238">
        <f>7674000+759220</f>
        <v>8433220</v>
      </c>
      <c r="C45" s="239">
        <f>51.38+3.545</f>
        <v>54.925000000000004</v>
      </c>
      <c r="D45" s="237">
        <v>49856.24</v>
      </c>
      <c r="E45" s="237">
        <v>100.2</v>
      </c>
      <c r="F45" s="237">
        <f t="shared" si="6"/>
        <v>845008.64399999997</v>
      </c>
      <c r="G45" s="237">
        <f t="shared" si="7"/>
        <v>2738353.9820000003</v>
      </c>
      <c r="H45" s="237">
        <f t="shared" si="8"/>
        <v>3583362.6260000002</v>
      </c>
      <c r="I45"/>
    </row>
    <row r="46" spans="1:9">
      <c r="A46" s="237" t="s">
        <v>1480</v>
      </c>
      <c r="B46" s="238">
        <f>9078000+846320</f>
        <v>9924320</v>
      </c>
      <c r="C46" s="239">
        <f>59.719+4.125</f>
        <v>63.844000000000001</v>
      </c>
      <c r="D46" s="237">
        <v>49856.24</v>
      </c>
      <c r="E46" s="237">
        <v>100.2</v>
      </c>
      <c r="F46" s="237">
        <f t="shared" si="6"/>
        <v>994416.86399999994</v>
      </c>
      <c r="G46" s="237">
        <f t="shared" si="7"/>
        <v>3183021.7865599999</v>
      </c>
      <c r="H46" s="237">
        <f t="shared" si="8"/>
        <v>4177438.65056</v>
      </c>
      <c r="I46"/>
    </row>
    <row r="47" spans="1:9">
      <c r="A47" s="237" t="s">
        <v>1481</v>
      </c>
      <c r="B47" s="238">
        <f>11311000+800320</f>
        <v>12111320</v>
      </c>
      <c r="C47" s="239">
        <f>64.306+4.583</f>
        <v>68.888999999999996</v>
      </c>
      <c r="D47" s="237">
        <v>49856.24</v>
      </c>
      <c r="E47" s="237">
        <v>100.2</v>
      </c>
      <c r="F47" s="237">
        <f t="shared" si="6"/>
        <v>1213554.264</v>
      </c>
      <c r="G47" s="237">
        <f t="shared" si="7"/>
        <v>3434546.5173599995</v>
      </c>
      <c r="H47" s="237">
        <f t="shared" si="8"/>
        <v>4648100.7813599994</v>
      </c>
      <c r="I47"/>
    </row>
    <row r="48" spans="1:9">
      <c r="A48" s="237" t="s">
        <v>4522</v>
      </c>
      <c r="B48" s="238">
        <f>11604000+810320</f>
        <v>12414320</v>
      </c>
      <c r="C48" s="239">
        <f>69.589+4.804</f>
        <v>74.393000000000001</v>
      </c>
      <c r="D48" s="237">
        <v>49856.24</v>
      </c>
      <c r="E48" s="237">
        <v>100.2</v>
      </c>
      <c r="F48" s="237">
        <f t="shared" si="6"/>
        <v>1243914.8640000001</v>
      </c>
      <c r="G48" s="237">
        <f t="shared" si="7"/>
        <v>3708955.2623199997</v>
      </c>
      <c r="H48" s="237">
        <f t="shared" si="8"/>
        <v>4952870.1263199998</v>
      </c>
      <c r="I48"/>
    </row>
    <row r="49" spans="1:9">
      <c r="A49" s="237" t="s">
        <v>689</v>
      </c>
      <c r="B49" s="241">
        <f>SUM(B37:B48)</f>
        <v>141892800</v>
      </c>
      <c r="C49" s="237"/>
      <c r="D49" s="237"/>
      <c r="E49" s="237"/>
      <c r="F49" s="240">
        <f>SUM(F37:F48)</f>
        <v>14217658.560000001</v>
      </c>
      <c r="G49" s="240">
        <f>SUM(G37:G48)</f>
        <v>42780143.856799997</v>
      </c>
      <c r="H49" s="240">
        <f t="shared" si="8"/>
        <v>56997802.4168</v>
      </c>
      <c r="I49"/>
    </row>
    <row r="50" spans="1:9">
      <c r="A50" s="233"/>
      <c r="I50"/>
    </row>
    <row r="51" spans="1:9" ht="15.75" customHeight="1">
      <c r="A51" s="1625" t="s">
        <v>696</v>
      </c>
      <c r="B51" s="1626"/>
      <c r="C51" s="1626"/>
      <c r="D51" s="1626"/>
      <c r="E51" s="1626"/>
      <c r="F51" s="1626"/>
      <c r="G51" s="1626"/>
      <c r="H51" s="1627"/>
      <c r="I51"/>
    </row>
    <row r="52" spans="1:9" ht="78.75">
      <c r="A52" s="235" t="s">
        <v>681</v>
      </c>
      <c r="B52" s="235" t="s">
        <v>694</v>
      </c>
      <c r="C52" s="235" t="s">
        <v>695</v>
      </c>
      <c r="D52" s="235" t="s">
        <v>684</v>
      </c>
      <c r="E52" s="235" t="s">
        <v>685</v>
      </c>
      <c r="F52" s="235" t="s">
        <v>686</v>
      </c>
      <c r="G52" s="235" t="s">
        <v>687</v>
      </c>
      <c r="H52" s="236" t="s">
        <v>688</v>
      </c>
      <c r="I52"/>
    </row>
    <row r="53" spans="1:9">
      <c r="A53" s="237" t="s">
        <v>1471</v>
      </c>
      <c r="B53" s="238">
        <v>11992608</v>
      </c>
      <c r="C53" s="239">
        <f>69.831+5.291</f>
        <v>75.122</v>
      </c>
      <c r="D53" s="237">
        <v>49856.24</v>
      </c>
      <c r="E53" s="237">
        <v>100.2</v>
      </c>
      <c r="F53" s="237">
        <f>E53*B53/1000</f>
        <v>1201659.3216000001</v>
      </c>
      <c r="G53" s="237">
        <f>D53*C53</f>
        <v>3745300.4612799999</v>
      </c>
      <c r="H53" s="237">
        <f>F53+G53</f>
        <v>4946959.7828799998</v>
      </c>
      <c r="I53"/>
    </row>
    <row r="54" spans="1:9">
      <c r="A54" s="237" t="s">
        <v>1472</v>
      </c>
      <c r="B54" s="238">
        <v>14697529</v>
      </c>
      <c r="C54" s="239">
        <f>69.895+4.956</f>
        <v>74.850999999999999</v>
      </c>
      <c r="D54" s="237">
        <v>49856.24</v>
      </c>
      <c r="E54" s="237">
        <v>100.2</v>
      </c>
      <c r="F54" s="237">
        <f t="shared" ref="F54:F64" si="9">E54*B54/1000</f>
        <v>1472692.4058000001</v>
      </c>
      <c r="G54" s="237">
        <f t="shared" ref="G54:G64" si="10">D54*C54</f>
        <v>3731789.4202399999</v>
      </c>
      <c r="H54" s="237">
        <f t="shared" ref="H54:H65" si="11">F54+G54</f>
        <v>5204481.8260399997</v>
      </c>
      <c r="I54"/>
    </row>
    <row r="55" spans="1:9">
      <c r="A55" s="237" t="s">
        <v>1473</v>
      </c>
      <c r="B55" s="238">
        <v>15829362</v>
      </c>
      <c r="C55" s="239">
        <f>77.697+4.684</f>
        <v>82.381</v>
      </c>
      <c r="D55" s="237">
        <v>49856.24</v>
      </c>
      <c r="E55" s="237">
        <v>100.2</v>
      </c>
      <c r="F55" s="237">
        <f t="shared" si="9"/>
        <v>1586102.0724000002</v>
      </c>
      <c r="G55" s="237">
        <f t="shared" si="10"/>
        <v>4107206.9074399997</v>
      </c>
      <c r="H55" s="237">
        <f t="shared" si="11"/>
        <v>5693308.9798400002</v>
      </c>
      <c r="I55"/>
    </row>
    <row r="56" spans="1:9">
      <c r="A56" s="237" t="s">
        <v>1474</v>
      </c>
      <c r="B56" s="238">
        <v>14991004</v>
      </c>
      <c r="C56" s="239">
        <f>69.993+4.148</f>
        <v>74.140999999999991</v>
      </c>
      <c r="D56" s="237">
        <v>49856.24</v>
      </c>
      <c r="E56" s="237">
        <v>100.2</v>
      </c>
      <c r="F56" s="237">
        <f t="shared" si="9"/>
        <v>1502098.6007999999</v>
      </c>
      <c r="G56" s="237">
        <f t="shared" si="10"/>
        <v>3696391.4898399995</v>
      </c>
      <c r="H56" s="237">
        <f t="shared" si="11"/>
        <v>5198490.0906399991</v>
      </c>
      <c r="I56"/>
    </row>
    <row r="57" spans="1:9">
      <c r="A57" s="237" t="s">
        <v>1475</v>
      </c>
      <c r="B57" s="238">
        <v>14160960</v>
      </c>
      <c r="C57" s="239">
        <f>63.188+3.394</f>
        <v>66.582000000000008</v>
      </c>
      <c r="D57" s="237">
        <v>49856.24</v>
      </c>
      <c r="E57" s="237">
        <v>100.2</v>
      </c>
      <c r="F57" s="237">
        <f t="shared" si="9"/>
        <v>1418928.192</v>
      </c>
      <c r="G57" s="237">
        <f t="shared" si="10"/>
        <v>3319528.1716800001</v>
      </c>
      <c r="H57" s="237">
        <f t="shared" si="11"/>
        <v>4738456.3636800004</v>
      </c>
      <c r="I57"/>
    </row>
    <row r="58" spans="1:9">
      <c r="A58" s="237" t="s">
        <v>1476</v>
      </c>
      <c r="B58" s="238">
        <v>14541777</v>
      </c>
      <c r="C58" s="239">
        <f>77.855+3.474</f>
        <v>81.329000000000008</v>
      </c>
      <c r="D58" s="237">
        <v>49856.24</v>
      </c>
      <c r="E58" s="237">
        <v>100.2</v>
      </c>
      <c r="F58" s="237">
        <f t="shared" si="9"/>
        <v>1457086.0554000002</v>
      </c>
      <c r="G58" s="237">
        <f t="shared" si="10"/>
        <v>4054758.1429600003</v>
      </c>
      <c r="H58" s="237">
        <f t="shared" si="11"/>
        <v>5511844.1983600007</v>
      </c>
      <c r="I58"/>
    </row>
    <row r="59" spans="1:9">
      <c r="A59" s="237" t="s">
        <v>1477</v>
      </c>
      <c r="B59" s="238">
        <v>14981447</v>
      </c>
      <c r="C59" s="239">
        <f>76.607+3.691</f>
        <v>80.298000000000002</v>
      </c>
      <c r="D59" s="237">
        <v>49856.24</v>
      </c>
      <c r="E59" s="237">
        <v>100.2</v>
      </c>
      <c r="F59" s="237">
        <f t="shared" si="9"/>
        <v>1501140.9894000001</v>
      </c>
      <c r="G59" s="237">
        <f t="shared" si="10"/>
        <v>4003356.3595199999</v>
      </c>
      <c r="H59" s="237">
        <f t="shared" si="11"/>
        <v>5504497.3489199998</v>
      </c>
      <c r="I59"/>
    </row>
    <row r="60" spans="1:9">
      <c r="A60" s="237" t="s">
        <v>1478</v>
      </c>
      <c r="B60" s="238">
        <v>9133607</v>
      </c>
      <c r="C60" s="239">
        <f>57.718+3.597</f>
        <v>61.315000000000005</v>
      </c>
      <c r="D60" s="237">
        <v>49856.24</v>
      </c>
      <c r="E60" s="237">
        <v>100.2</v>
      </c>
      <c r="F60" s="237">
        <f t="shared" si="9"/>
        <v>915187.42139999999</v>
      </c>
      <c r="G60" s="237">
        <f t="shared" si="10"/>
        <v>3056935.3555999999</v>
      </c>
      <c r="H60" s="237">
        <f t="shared" si="11"/>
        <v>3972122.7769999998</v>
      </c>
      <c r="I60"/>
    </row>
    <row r="61" spans="1:9">
      <c r="A61" s="237" t="s">
        <v>1479</v>
      </c>
      <c r="B61" s="238">
        <v>9940072</v>
      </c>
      <c r="C61" s="239">
        <f>51.38+3.545</f>
        <v>54.925000000000004</v>
      </c>
      <c r="D61" s="237">
        <v>49856.24</v>
      </c>
      <c r="E61" s="237">
        <v>100.2</v>
      </c>
      <c r="F61" s="237">
        <f t="shared" si="9"/>
        <v>995995.21439999994</v>
      </c>
      <c r="G61" s="237">
        <f t="shared" si="10"/>
        <v>2738353.9820000003</v>
      </c>
      <c r="H61" s="237">
        <f t="shared" si="11"/>
        <v>3734349.1964000002</v>
      </c>
      <c r="I61"/>
    </row>
    <row r="62" spans="1:9">
      <c r="A62" s="237" t="s">
        <v>1480</v>
      </c>
      <c r="B62" s="238">
        <v>14140823</v>
      </c>
      <c r="C62" s="239">
        <f>59.719+4.125</f>
        <v>63.844000000000001</v>
      </c>
      <c r="D62" s="237">
        <v>49856.24</v>
      </c>
      <c r="E62" s="237">
        <v>100.2</v>
      </c>
      <c r="F62" s="237">
        <f t="shared" si="9"/>
        <v>1416910.4646000001</v>
      </c>
      <c r="G62" s="237">
        <f t="shared" si="10"/>
        <v>3183021.7865599999</v>
      </c>
      <c r="H62" s="237">
        <f t="shared" si="11"/>
        <v>4599932.2511599995</v>
      </c>
      <c r="I62"/>
    </row>
    <row r="63" spans="1:9">
      <c r="A63" s="237" t="s">
        <v>1481</v>
      </c>
      <c r="B63" s="238">
        <v>16456690</v>
      </c>
      <c r="C63" s="239">
        <f>64.306+4.583</f>
        <v>68.888999999999996</v>
      </c>
      <c r="D63" s="237">
        <v>49856.24</v>
      </c>
      <c r="E63" s="237">
        <v>100.2</v>
      </c>
      <c r="F63" s="237">
        <f t="shared" si="9"/>
        <v>1648960.338</v>
      </c>
      <c r="G63" s="237">
        <f t="shared" si="10"/>
        <v>3434546.5173599995</v>
      </c>
      <c r="H63" s="237">
        <f t="shared" si="11"/>
        <v>5083506.8553599995</v>
      </c>
      <c r="I63"/>
    </row>
    <row r="64" spans="1:9">
      <c r="A64" s="237" t="s">
        <v>4522</v>
      </c>
      <c r="B64" s="238">
        <v>14273913</v>
      </c>
      <c r="C64" s="239">
        <f>69.589+4.804</f>
        <v>74.393000000000001</v>
      </c>
      <c r="D64" s="237">
        <v>49856.24</v>
      </c>
      <c r="E64" s="237">
        <v>100.2</v>
      </c>
      <c r="F64" s="237">
        <f t="shared" si="9"/>
        <v>1430246.0826000001</v>
      </c>
      <c r="G64" s="237">
        <f t="shared" si="10"/>
        <v>3708955.2623199997</v>
      </c>
      <c r="H64" s="237">
        <f t="shared" si="11"/>
        <v>5139201.3449200001</v>
      </c>
      <c r="I64"/>
    </row>
    <row r="65" spans="1:9">
      <c r="A65" s="237" t="s">
        <v>689</v>
      </c>
      <c r="B65" s="241">
        <f>SUM(B53:B64)</f>
        <v>165139792</v>
      </c>
      <c r="C65" s="237"/>
      <c r="D65" s="237"/>
      <c r="E65" s="237"/>
      <c r="F65" s="240">
        <f>SUM(F53:F64)</f>
        <v>16547007.158399997</v>
      </c>
      <c r="G65" s="240">
        <f>SUM(G53:G64)</f>
        <v>42780143.856799997</v>
      </c>
      <c r="H65" s="240">
        <f t="shared" si="11"/>
        <v>59327151.015199997</v>
      </c>
      <c r="I65"/>
    </row>
    <row r="66" spans="1:9" ht="30" customHeight="1">
      <c r="A66" s="1628" t="s">
        <v>697</v>
      </c>
      <c r="B66" s="1628"/>
      <c r="C66" s="1628"/>
      <c r="D66" s="1628"/>
      <c r="E66" s="1628"/>
      <c r="F66" s="1628"/>
      <c r="G66" s="1628"/>
      <c r="H66" s="1628"/>
      <c r="I66"/>
    </row>
    <row r="67" spans="1:9" ht="15.75" customHeight="1">
      <c r="A67" s="1625" t="s">
        <v>698</v>
      </c>
      <c r="B67" s="1626"/>
      <c r="C67" s="1626"/>
      <c r="D67" s="1626"/>
      <c r="E67" s="1626"/>
      <c r="F67" s="1626"/>
      <c r="G67" s="1626"/>
      <c r="H67" s="1627"/>
      <c r="I67"/>
    </row>
    <row r="68" spans="1:9" ht="78.75">
      <c r="A68" s="235" t="s">
        <v>681</v>
      </c>
      <c r="B68" s="235" t="s">
        <v>699</v>
      </c>
      <c r="C68" s="235" t="s">
        <v>700</v>
      </c>
      <c r="D68" s="235" t="s">
        <v>684</v>
      </c>
      <c r="E68" s="235" t="s">
        <v>685</v>
      </c>
      <c r="F68" s="235" t="s">
        <v>686</v>
      </c>
      <c r="G68" s="235" t="s">
        <v>687</v>
      </c>
      <c r="H68" s="236" t="s">
        <v>688</v>
      </c>
      <c r="I68"/>
    </row>
    <row r="69" spans="1:9">
      <c r="A69" s="237" t="s">
        <v>1471</v>
      </c>
      <c r="B69" s="238">
        <v>12167630.000000002</v>
      </c>
      <c r="C69" s="239">
        <v>87.536999999999992</v>
      </c>
      <c r="D69" s="237">
        <v>45389.68</v>
      </c>
      <c r="E69" s="237">
        <v>106.92</v>
      </c>
      <c r="F69" s="237">
        <f>E69*B69/1000</f>
        <v>1300962.9996000002</v>
      </c>
      <c r="G69" s="237">
        <f>D69*C69</f>
        <v>3973276.4181599999</v>
      </c>
      <c r="H69" s="237">
        <f>F69+G69</f>
        <v>5274239.4177599996</v>
      </c>
      <c r="I69"/>
    </row>
    <row r="70" spans="1:9">
      <c r="A70" s="237" t="s">
        <v>1472</v>
      </c>
      <c r="B70" s="238">
        <v>12970440</v>
      </c>
      <c r="C70" s="239">
        <v>81.415000000000006</v>
      </c>
      <c r="D70" s="237">
        <v>45389.68</v>
      </c>
      <c r="E70" s="237">
        <v>106.92</v>
      </c>
      <c r="F70" s="237">
        <f t="shared" ref="F70:F80" si="12">E70*B70/1000</f>
        <v>1386799.4447999999</v>
      </c>
      <c r="G70" s="237">
        <f t="shared" ref="G70:G80" si="13">D70*C70</f>
        <v>3695400.7972000004</v>
      </c>
      <c r="H70" s="237">
        <f t="shared" ref="H70:H80" si="14">F70+G70</f>
        <v>5082200.2420000006</v>
      </c>
      <c r="I70"/>
    </row>
    <row r="71" spans="1:9">
      <c r="A71" s="237" t="s">
        <v>1473</v>
      </c>
      <c r="B71" s="238">
        <v>14474550</v>
      </c>
      <c r="C71" s="239">
        <v>77.390999999999991</v>
      </c>
      <c r="D71" s="237">
        <v>45389.68</v>
      </c>
      <c r="E71" s="237">
        <v>106.92</v>
      </c>
      <c r="F71" s="237">
        <f t="shared" si="12"/>
        <v>1547618.8859999999</v>
      </c>
      <c r="G71" s="237">
        <f t="shared" si="13"/>
        <v>3512752.7248799996</v>
      </c>
      <c r="H71" s="237">
        <f t="shared" si="14"/>
        <v>5060371.6108799996</v>
      </c>
      <c r="I71"/>
    </row>
    <row r="72" spans="1:9">
      <c r="A72" s="237" t="s">
        <v>1474</v>
      </c>
      <c r="B72" s="238">
        <v>14412290</v>
      </c>
      <c r="C72" s="239">
        <v>77.815999999999988</v>
      </c>
      <c r="D72" s="237">
        <v>45389.68</v>
      </c>
      <c r="E72" s="237">
        <v>106.92</v>
      </c>
      <c r="F72" s="237">
        <f t="shared" si="12"/>
        <v>1540962.0467999999</v>
      </c>
      <c r="G72" s="237">
        <f t="shared" si="13"/>
        <v>3532043.3388799997</v>
      </c>
      <c r="H72" s="237">
        <f t="shared" si="14"/>
        <v>5073005.3856799994</v>
      </c>
      <c r="I72"/>
    </row>
    <row r="73" spans="1:9">
      <c r="A73" s="237" t="s">
        <v>1475</v>
      </c>
      <c r="B73" s="238">
        <v>11967570</v>
      </c>
      <c r="C73" s="239">
        <v>72.826999999999998</v>
      </c>
      <c r="D73" s="237">
        <v>45389.68</v>
      </c>
      <c r="E73" s="237">
        <v>106.92</v>
      </c>
      <c r="F73" s="237">
        <f t="shared" si="12"/>
        <v>1279572.5844000001</v>
      </c>
      <c r="G73" s="237">
        <f t="shared" si="13"/>
        <v>3305594.22536</v>
      </c>
      <c r="H73" s="237">
        <f t="shared" si="14"/>
        <v>4585166.8097600006</v>
      </c>
      <c r="I73"/>
    </row>
    <row r="74" spans="1:9">
      <c r="A74" s="237" t="s">
        <v>1476</v>
      </c>
      <c r="B74" s="238">
        <v>11618590</v>
      </c>
      <c r="C74" s="239">
        <v>74.230999999999995</v>
      </c>
      <c r="D74" s="237">
        <v>45389.68</v>
      </c>
      <c r="E74" s="237">
        <v>106.92</v>
      </c>
      <c r="F74" s="237">
        <f t="shared" si="12"/>
        <v>1242259.6428</v>
      </c>
      <c r="G74" s="237">
        <f t="shared" si="13"/>
        <v>3369321.3360799998</v>
      </c>
      <c r="H74" s="237">
        <f t="shared" si="14"/>
        <v>4611580.9788799994</v>
      </c>
      <c r="I74"/>
    </row>
    <row r="75" spans="1:9">
      <c r="A75" s="237" t="s">
        <v>1477</v>
      </c>
      <c r="B75" s="238">
        <v>11862109.999999998</v>
      </c>
      <c r="C75" s="239">
        <v>78.77600000000001</v>
      </c>
      <c r="D75" s="237">
        <v>54501.09</v>
      </c>
      <c r="E75" s="237">
        <v>115.73</v>
      </c>
      <c r="F75" s="237">
        <f t="shared" si="12"/>
        <v>1372801.9902999997</v>
      </c>
      <c r="G75" s="237">
        <f t="shared" si="13"/>
        <v>4293377.8658400001</v>
      </c>
      <c r="H75" s="237">
        <f t="shared" si="14"/>
        <v>5666179.8561399998</v>
      </c>
      <c r="I75"/>
    </row>
    <row r="76" spans="1:9">
      <c r="A76" s="237" t="s">
        <v>1478</v>
      </c>
      <c r="B76" s="238">
        <v>5954019.9999999991</v>
      </c>
      <c r="C76" s="239">
        <v>58.911999999999999</v>
      </c>
      <c r="D76" s="237">
        <v>54501.09</v>
      </c>
      <c r="E76" s="237">
        <v>115.73</v>
      </c>
      <c r="F76" s="237">
        <f t="shared" si="12"/>
        <v>689058.73459999985</v>
      </c>
      <c r="G76" s="237">
        <f t="shared" si="13"/>
        <v>3210768.2140799998</v>
      </c>
      <c r="H76" s="237">
        <f t="shared" si="14"/>
        <v>3899826.9486799994</v>
      </c>
      <c r="I76"/>
    </row>
    <row r="77" spans="1:9">
      <c r="A77" s="237" t="s">
        <v>1479</v>
      </c>
      <c r="B77" s="238">
        <v>7348090</v>
      </c>
      <c r="C77" s="239">
        <v>39.748899999999999</v>
      </c>
      <c r="D77" s="237">
        <v>54501.09</v>
      </c>
      <c r="E77" s="237">
        <v>115.73</v>
      </c>
      <c r="F77" s="237">
        <f t="shared" si="12"/>
        <v>850394.45570000005</v>
      </c>
      <c r="G77" s="237">
        <f t="shared" si="13"/>
        <v>2166358.3763009999</v>
      </c>
      <c r="H77" s="237">
        <f t="shared" si="14"/>
        <v>3016752.8320009997</v>
      </c>
      <c r="I77"/>
    </row>
    <row r="78" spans="1:9">
      <c r="A78" s="237" t="s">
        <v>1480</v>
      </c>
      <c r="B78" s="238">
        <v>11368750</v>
      </c>
      <c r="C78" s="239">
        <v>69.784999999999997</v>
      </c>
      <c r="D78" s="237">
        <v>54501.09</v>
      </c>
      <c r="E78" s="237">
        <v>115.73</v>
      </c>
      <c r="F78" s="237">
        <f t="shared" si="12"/>
        <v>1315705.4375</v>
      </c>
      <c r="G78" s="237">
        <f t="shared" si="13"/>
        <v>3803358.5656499998</v>
      </c>
      <c r="H78" s="237">
        <f t="shared" si="14"/>
        <v>5119064.0031499993</v>
      </c>
      <c r="I78"/>
    </row>
    <row r="79" spans="1:9">
      <c r="A79" s="237" t="s">
        <v>1481</v>
      </c>
      <c r="B79" s="238">
        <v>11297600</v>
      </c>
      <c r="C79" s="239">
        <v>70.456999999999994</v>
      </c>
      <c r="D79" s="237">
        <v>54501.09</v>
      </c>
      <c r="E79" s="237">
        <v>115.73</v>
      </c>
      <c r="F79" s="237">
        <f t="shared" si="12"/>
        <v>1307471.2479999999</v>
      </c>
      <c r="G79" s="237">
        <f t="shared" si="13"/>
        <v>3839983.2981299995</v>
      </c>
      <c r="H79" s="237">
        <f t="shared" si="14"/>
        <v>5147454.5461299997</v>
      </c>
      <c r="I79"/>
    </row>
    <row r="80" spans="1:9">
      <c r="A80" s="237" t="s">
        <v>4522</v>
      </c>
      <c r="B80" s="238">
        <v>12548599.999999998</v>
      </c>
      <c r="C80" s="239">
        <v>75.149000000000001</v>
      </c>
      <c r="D80" s="237">
        <v>54501.09</v>
      </c>
      <c r="E80" s="237">
        <v>115.73</v>
      </c>
      <c r="F80" s="237">
        <f t="shared" si="12"/>
        <v>1452249.4779999997</v>
      </c>
      <c r="G80" s="237">
        <f t="shared" si="13"/>
        <v>4095702.4124099999</v>
      </c>
      <c r="H80" s="237">
        <f t="shared" si="14"/>
        <v>5547951.8904099995</v>
      </c>
      <c r="I80"/>
    </row>
    <row r="81" spans="1:9">
      <c r="A81" s="237" t="s">
        <v>689</v>
      </c>
      <c r="B81" s="241">
        <f>SUM(B69:B80)</f>
        <v>137990240</v>
      </c>
      <c r="C81" s="237"/>
      <c r="D81" s="237"/>
      <c r="E81" s="237"/>
      <c r="F81" s="240">
        <f>SUM(F69:F80)</f>
        <v>15285856.9485</v>
      </c>
      <c r="G81" s="240">
        <f>SUM(G69:G80)</f>
        <v>42797937.572970994</v>
      </c>
      <c r="H81" s="240">
        <f>F81+G81</f>
        <v>58083794.521470994</v>
      </c>
      <c r="I81"/>
    </row>
    <row r="82" spans="1:9">
      <c r="A82" s="233"/>
      <c r="I82"/>
    </row>
    <row r="83" spans="1:9" ht="15.75" customHeight="1">
      <c r="A83" s="1625" t="s">
        <v>701</v>
      </c>
      <c r="B83" s="1626"/>
      <c r="C83" s="1626"/>
      <c r="D83" s="1626"/>
      <c r="E83" s="1626"/>
      <c r="F83" s="1626"/>
      <c r="G83" s="1626"/>
      <c r="H83" s="1627"/>
      <c r="I83"/>
    </row>
    <row r="84" spans="1:9" ht="78.75">
      <c r="A84" s="235" t="s">
        <v>681</v>
      </c>
      <c r="B84" s="235" t="s">
        <v>699</v>
      </c>
      <c r="C84" s="235" t="s">
        <v>700</v>
      </c>
      <c r="D84" s="235" t="s">
        <v>684</v>
      </c>
      <c r="E84" s="235" t="s">
        <v>685</v>
      </c>
      <c r="F84" s="235" t="s">
        <v>686</v>
      </c>
      <c r="G84" s="235" t="s">
        <v>687</v>
      </c>
      <c r="H84" s="236" t="s">
        <v>688</v>
      </c>
      <c r="I84"/>
    </row>
    <row r="85" spans="1:9">
      <c r="A85" s="237" t="s">
        <v>1471</v>
      </c>
      <c r="B85" s="238">
        <v>13288447</v>
      </c>
      <c r="C85" s="239">
        <f>81.923+5.614</f>
        <v>87.537000000000006</v>
      </c>
      <c r="D85" s="237">
        <v>45389.68</v>
      </c>
      <c r="E85" s="237">
        <v>106.92</v>
      </c>
      <c r="F85" s="237">
        <f>E85*B85/1000</f>
        <v>1420800.75324</v>
      </c>
      <c r="G85" s="237">
        <f>D85*C85</f>
        <v>3973276.4181600004</v>
      </c>
      <c r="H85" s="237">
        <f>F85+G85</f>
        <v>5394077.1714000003</v>
      </c>
      <c r="I85"/>
    </row>
    <row r="86" spans="1:9">
      <c r="A86" s="237" t="s">
        <v>1472</v>
      </c>
      <c r="B86" s="238">
        <v>16494528</v>
      </c>
      <c r="C86" s="239">
        <v>81.415000000000006</v>
      </c>
      <c r="D86" s="237">
        <v>45389.68</v>
      </c>
      <c r="E86" s="237">
        <v>106.92</v>
      </c>
      <c r="F86" s="237">
        <f t="shared" ref="F86:F96" si="15">E86*B86/1000</f>
        <v>1763594.9337599999</v>
      </c>
      <c r="G86" s="237">
        <f t="shared" ref="G86:G96" si="16">D86*C86</f>
        <v>3695400.7972000004</v>
      </c>
      <c r="H86" s="237">
        <f t="shared" ref="H86:H97" si="17">F86+G86</f>
        <v>5458995.7309600003</v>
      </c>
      <c r="I86"/>
    </row>
    <row r="87" spans="1:9">
      <c r="A87" s="237" t="s">
        <v>1473</v>
      </c>
      <c r="B87" s="238">
        <v>13783234</v>
      </c>
      <c r="C87" s="239">
        <v>77.390999999999991</v>
      </c>
      <c r="D87" s="237">
        <v>45389.68</v>
      </c>
      <c r="E87" s="237">
        <v>106.92</v>
      </c>
      <c r="F87" s="237">
        <f t="shared" si="15"/>
        <v>1473703.37928</v>
      </c>
      <c r="G87" s="237">
        <f t="shared" si="16"/>
        <v>3512752.7248799996</v>
      </c>
      <c r="H87" s="237">
        <f t="shared" si="17"/>
        <v>4986456.1041599996</v>
      </c>
      <c r="I87"/>
    </row>
    <row r="88" spans="1:9">
      <c r="A88" s="237" t="s">
        <v>1474</v>
      </c>
      <c r="B88" s="238">
        <v>13523585</v>
      </c>
      <c r="C88" s="239">
        <v>77.815999999999988</v>
      </c>
      <c r="D88" s="237">
        <v>45389.68</v>
      </c>
      <c r="E88" s="237">
        <v>106.92</v>
      </c>
      <c r="F88" s="237">
        <f t="shared" si="15"/>
        <v>1445941.7082</v>
      </c>
      <c r="G88" s="237">
        <f t="shared" si="16"/>
        <v>3532043.3388799997</v>
      </c>
      <c r="H88" s="237">
        <f t="shared" si="17"/>
        <v>4977985.0470799999</v>
      </c>
      <c r="I88"/>
    </row>
    <row r="89" spans="1:9">
      <c r="A89" s="237" t="s">
        <v>1475</v>
      </c>
      <c r="B89" s="238">
        <v>11717542</v>
      </c>
      <c r="C89" s="239">
        <v>72.826999999999998</v>
      </c>
      <c r="D89" s="237">
        <v>45389.68</v>
      </c>
      <c r="E89" s="237">
        <v>106.92</v>
      </c>
      <c r="F89" s="237">
        <f t="shared" si="15"/>
        <v>1252839.5906400001</v>
      </c>
      <c r="G89" s="237">
        <f t="shared" si="16"/>
        <v>3305594.22536</v>
      </c>
      <c r="H89" s="237">
        <f t="shared" si="17"/>
        <v>4558433.8159999996</v>
      </c>
      <c r="I89"/>
    </row>
    <row r="90" spans="1:9">
      <c r="A90" s="237" t="s">
        <v>1476</v>
      </c>
      <c r="B90" s="238">
        <v>10133531</v>
      </c>
      <c r="C90" s="239">
        <v>74.230999999999995</v>
      </c>
      <c r="D90" s="237">
        <v>45389.68</v>
      </c>
      <c r="E90" s="237">
        <v>106.92</v>
      </c>
      <c r="F90" s="237">
        <f t="shared" si="15"/>
        <v>1083477.1345200001</v>
      </c>
      <c r="G90" s="237">
        <f t="shared" si="16"/>
        <v>3369321.3360799998</v>
      </c>
      <c r="H90" s="237">
        <f t="shared" si="17"/>
        <v>4452798.4705999997</v>
      </c>
      <c r="I90"/>
    </row>
    <row r="91" spans="1:9">
      <c r="A91" s="237" t="s">
        <v>1477</v>
      </c>
      <c r="B91" s="238">
        <v>11214889</v>
      </c>
      <c r="C91" s="239">
        <v>78.77600000000001</v>
      </c>
      <c r="D91" s="237">
        <v>54501.09</v>
      </c>
      <c r="E91" s="237">
        <v>115.73</v>
      </c>
      <c r="F91" s="237">
        <f t="shared" si="15"/>
        <v>1297899.1039700001</v>
      </c>
      <c r="G91" s="237">
        <f t="shared" si="16"/>
        <v>4293377.8658400001</v>
      </c>
      <c r="H91" s="237">
        <f t="shared" si="17"/>
        <v>5591276.9698099997</v>
      </c>
      <c r="I91"/>
    </row>
    <row r="92" spans="1:9">
      <c r="A92" s="237" t="s">
        <v>1478</v>
      </c>
      <c r="B92" s="238">
        <v>9250731</v>
      </c>
      <c r="C92" s="239">
        <v>58.911999999999999</v>
      </c>
      <c r="D92" s="237">
        <v>54501.09</v>
      </c>
      <c r="E92" s="237">
        <v>115.73</v>
      </c>
      <c r="F92" s="237">
        <f t="shared" si="15"/>
        <v>1070587.0986299999</v>
      </c>
      <c r="G92" s="237">
        <f t="shared" si="16"/>
        <v>3210768.2140799998</v>
      </c>
      <c r="H92" s="237">
        <f t="shared" si="17"/>
        <v>4281355.3127100002</v>
      </c>
      <c r="I92"/>
    </row>
    <row r="93" spans="1:9">
      <c r="A93" s="237" t="s">
        <v>1479</v>
      </c>
      <c r="B93" s="238">
        <v>6043505</v>
      </c>
      <c r="C93" s="239">
        <v>39.749000000000002</v>
      </c>
      <c r="D93" s="237">
        <v>54501.09</v>
      </c>
      <c r="E93" s="237">
        <v>115.73</v>
      </c>
      <c r="F93" s="237">
        <f t="shared" si="15"/>
        <v>699414.83364999993</v>
      </c>
      <c r="G93" s="237">
        <f t="shared" si="16"/>
        <v>2166363.8264100002</v>
      </c>
      <c r="H93" s="237">
        <f t="shared" si="17"/>
        <v>2865778.6600600001</v>
      </c>
      <c r="I93"/>
    </row>
    <row r="94" spans="1:9">
      <c r="A94" s="237" t="s">
        <v>1480</v>
      </c>
      <c r="B94" s="238">
        <v>12650699</v>
      </c>
      <c r="C94" s="239">
        <v>69.784999999999997</v>
      </c>
      <c r="D94" s="237">
        <v>54501.09</v>
      </c>
      <c r="E94" s="237">
        <v>115.73</v>
      </c>
      <c r="F94" s="237">
        <f t="shared" si="15"/>
        <v>1464065.39527</v>
      </c>
      <c r="G94" s="237">
        <f t="shared" si="16"/>
        <v>3803358.5656499998</v>
      </c>
      <c r="H94" s="237">
        <f t="shared" si="17"/>
        <v>5267423.9609199995</v>
      </c>
      <c r="I94"/>
    </row>
    <row r="95" spans="1:9">
      <c r="A95" s="237" t="s">
        <v>1481</v>
      </c>
      <c r="B95" s="238">
        <v>12365389</v>
      </c>
      <c r="C95" s="239">
        <v>70.457000000000008</v>
      </c>
      <c r="D95" s="237">
        <v>54501.09</v>
      </c>
      <c r="E95" s="237">
        <v>115.73</v>
      </c>
      <c r="F95" s="237">
        <f t="shared" si="15"/>
        <v>1431046.46897</v>
      </c>
      <c r="G95" s="237">
        <f t="shared" si="16"/>
        <v>3839983.29813</v>
      </c>
      <c r="H95" s="237">
        <f t="shared" si="17"/>
        <v>5271029.7670999998</v>
      </c>
      <c r="I95"/>
    </row>
    <row r="96" spans="1:9">
      <c r="A96" s="237" t="s">
        <v>4522</v>
      </c>
      <c r="B96" s="238">
        <v>14023360</v>
      </c>
      <c r="C96" s="239">
        <v>75.149000000000001</v>
      </c>
      <c r="D96" s="237">
        <v>54501.09</v>
      </c>
      <c r="E96" s="237">
        <v>115.73</v>
      </c>
      <c r="F96" s="237">
        <f t="shared" si="15"/>
        <v>1622923.4527999999</v>
      </c>
      <c r="G96" s="237">
        <f t="shared" si="16"/>
        <v>4095702.4124099999</v>
      </c>
      <c r="H96" s="237">
        <f t="shared" si="17"/>
        <v>5718625.8652099995</v>
      </c>
      <c r="I96"/>
    </row>
    <row r="97" spans="1:9">
      <c r="A97" s="237" t="s">
        <v>689</v>
      </c>
      <c r="B97" s="241">
        <f>SUM(B85:B96)</f>
        <v>144489440</v>
      </c>
      <c r="C97" s="239"/>
      <c r="D97" s="237"/>
      <c r="E97" s="237"/>
      <c r="F97" s="240">
        <f>SUM(F85:F96)</f>
        <v>16026293.852930002</v>
      </c>
      <c r="G97" s="240">
        <f>SUM(G85:G96)</f>
        <v>42797943.023079991</v>
      </c>
      <c r="H97" s="240">
        <f t="shared" si="17"/>
        <v>58824236.876009993</v>
      </c>
      <c r="I97"/>
    </row>
    <row r="98" spans="1:9" ht="30" customHeight="1">
      <c r="A98" s="1629" t="s">
        <v>702</v>
      </c>
      <c r="B98" s="1629"/>
      <c r="C98" s="1629"/>
      <c r="D98" s="1629"/>
      <c r="E98" s="1629"/>
      <c r="F98" s="1629"/>
      <c r="G98" s="1629"/>
      <c r="H98" s="1629"/>
      <c r="I98"/>
    </row>
    <row r="99" spans="1:9" ht="45" customHeight="1">
      <c r="A99" s="1637" t="s">
        <v>703</v>
      </c>
      <c r="B99" s="1637"/>
      <c r="C99" s="1637"/>
      <c r="D99" s="1637"/>
      <c r="E99" s="1637"/>
      <c r="F99" s="1637"/>
      <c r="G99" s="1637"/>
      <c r="H99" s="1637"/>
      <c r="I99"/>
    </row>
    <row r="100" spans="1:9">
      <c r="A100" s="233"/>
      <c r="I100"/>
    </row>
    <row r="101" spans="1:9" ht="15.75" customHeight="1">
      <c r="A101" s="1625" t="s">
        <v>704</v>
      </c>
      <c r="B101" s="1626"/>
      <c r="C101" s="1626"/>
      <c r="D101" s="1626"/>
      <c r="E101" s="1626"/>
      <c r="F101" s="1626"/>
      <c r="G101" s="1626"/>
      <c r="H101" s="1627"/>
      <c r="I101"/>
    </row>
    <row r="102" spans="1:9" ht="45" customHeight="1">
      <c r="A102" s="235" t="s">
        <v>681</v>
      </c>
      <c r="B102" s="1638" t="s">
        <v>705</v>
      </c>
      <c r="C102" s="1639"/>
      <c r="D102" s="1638" t="s">
        <v>706</v>
      </c>
      <c r="E102" s="1639"/>
      <c r="F102" s="1638" t="s">
        <v>707</v>
      </c>
      <c r="G102" s="1645"/>
      <c r="H102" s="1639"/>
      <c r="I102"/>
    </row>
    <row r="103" spans="1:9">
      <c r="A103" s="237" t="s">
        <v>1471</v>
      </c>
      <c r="B103" s="1630">
        <v>11986.43</v>
      </c>
      <c r="C103" s="1631"/>
      <c r="D103" s="1632">
        <v>371.86</v>
      </c>
      <c r="E103" s="1633"/>
      <c r="F103" s="1632">
        <f>ROUND(B103*D103,2)</f>
        <v>4457273.8600000003</v>
      </c>
      <c r="G103" s="1634"/>
      <c r="H103" s="1633"/>
      <c r="I103"/>
    </row>
    <row r="104" spans="1:9">
      <c r="A104" s="237" t="s">
        <v>1472</v>
      </c>
      <c r="B104" s="1630">
        <v>14667.37</v>
      </c>
      <c r="C104" s="1631"/>
      <c r="D104" s="1632">
        <v>371.86</v>
      </c>
      <c r="E104" s="1633"/>
      <c r="F104" s="1632">
        <f t="shared" ref="F104:F114" si="18">ROUND(B104*D104,2)</f>
        <v>5454208.21</v>
      </c>
      <c r="G104" s="1634"/>
      <c r="H104" s="1633"/>
      <c r="I104"/>
    </row>
    <row r="105" spans="1:9">
      <c r="A105" s="237" t="s">
        <v>1473</v>
      </c>
      <c r="B105" s="1630">
        <v>16229.44</v>
      </c>
      <c r="C105" s="1631"/>
      <c r="D105" s="1632">
        <v>371.86</v>
      </c>
      <c r="E105" s="1633"/>
      <c r="F105" s="1632">
        <f t="shared" si="18"/>
        <v>6035079.5599999996</v>
      </c>
      <c r="G105" s="1634"/>
      <c r="H105" s="1633"/>
      <c r="I105"/>
    </row>
    <row r="106" spans="1:9">
      <c r="A106" s="237" t="s">
        <v>1474</v>
      </c>
      <c r="B106" s="1630">
        <v>14970.21</v>
      </c>
      <c r="C106" s="1631"/>
      <c r="D106" s="1632">
        <v>371.86</v>
      </c>
      <c r="E106" s="1633"/>
      <c r="F106" s="1632">
        <f t="shared" si="18"/>
        <v>5566822.29</v>
      </c>
      <c r="G106" s="1634"/>
      <c r="H106" s="1633"/>
      <c r="I106"/>
    </row>
    <row r="107" spans="1:9">
      <c r="A107" s="237" t="s">
        <v>1475</v>
      </c>
      <c r="B107" s="1630">
        <v>14409.43</v>
      </c>
      <c r="C107" s="1631"/>
      <c r="D107" s="1632">
        <v>371.86</v>
      </c>
      <c r="E107" s="1633"/>
      <c r="F107" s="1632">
        <f t="shared" si="18"/>
        <v>5358290.6399999997</v>
      </c>
      <c r="G107" s="1634"/>
      <c r="H107" s="1633"/>
      <c r="I107"/>
    </row>
    <row r="108" spans="1:9">
      <c r="A108" s="237" t="s">
        <v>1476</v>
      </c>
      <c r="B108" s="1636">
        <v>14158.86</v>
      </c>
      <c r="C108" s="1636"/>
      <c r="D108" s="1635">
        <v>371.86</v>
      </c>
      <c r="E108" s="1635"/>
      <c r="F108" s="1635">
        <f t="shared" si="18"/>
        <v>5265113.68</v>
      </c>
      <c r="G108" s="1635"/>
      <c r="H108" s="1635"/>
      <c r="I108"/>
    </row>
    <row r="109" spans="1:9">
      <c r="A109" s="237" t="s">
        <v>1477</v>
      </c>
      <c r="B109" s="1636">
        <v>14084.47</v>
      </c>
      <c r="C109" s="1636"/>
      <c r="D109" s="1635">
        <v>387.19</v>
      </c>
      <c r="E109" s="1635"/>
      <c r="F109" s="1635">
        <f t="shared" si="18"/>
        <v>5453365.9400000004</v>
      </c>
      <c r="G109" s="1635"/>
      <c r="H109" s="1635"/>
      <c r="I109"/>
    </row>
    <row r="110" spans="1:9">
      <c r="A110" s="237" t="s">
        <v>1478</v>
      </c>
      <c r="B110" s="1630">
        <v>9599.84</v>
      </c>
      <c r="C110" s="1631"/>
      <c r="D110" s="1632">
        <v>387.19</v>
      </c>
      <c r="E110" s="1633"/>
      <c r="F110" s="1632">
        <f t="shared" si="18"/>
        <v>3716962.05</v>
      </c>
      <c r="G110" s="1634"/>
      <c r="H110" s="1633"/>
      <c r="I110"/>
    </row>
    <row r="111" spans="1:9">
      <c r="A111" s="237" t="s">
        <v>1479</v>
      </c>
      <c r="B111" s="1630">
        <v>10032.35</v>
      </c>
      <c r="C111" s="1631"/>
      <c r="D111" s="1632">
        <v>387.19</v>
      </c>
      <c r="E111" s="1633"/>
      <c r="F111" s="1632">
        <f t="shared" si="18"/>
        <v>3884425.6</v>
      </c>
      <c r="G111" s="1634"/>
      <c r="H111" s="1633"/>
      <c r="I111"/>
    </row>
    <row r="112" spans="1:9">
      <c r="A112" s="237" t="s">
        <v>1480</v>
      </c>
      <c r="B112" s="1630">
        <v>13931.13</v>
      </c>
      <c r="C112" s="1631"/>
      <c r="D112" s="1632">
        <v>387.19</v>
      </c>
      <c r="E112" s="1633"/>
      <c r="F112" s="1632">
        <f t="shared" si="18"/>
        <v>5393994.2199999997</v>
      </c>
      <c r="G112" s="1634"/>
      <c r="H112" s="1633"/>
      <c r="I112"/>
    </row>
    <row r="113" spans="1:9">
      <c r="A113" s="237" t="s">
        <v>1481</v>
      </c>
      <c r="B113" s="1630">
        <v>16364.97</v>
      </c>
      <c r="C113" s="1631"/>
      <c r="D113" s="1632">
        <v>387.19</v>
      </c>
      <c r="E113" s="1633"/>
      <c r="F113" s="1632">
        <f t="shared" si="18"/>
        <v>6336352.7300000004</v>
      </c>
      <c r="G113" s="1634"/>
      <c r="H113" s="1633"/>
      <c r="I113"/>
    </row>
    <row r="114" spans="1:9">
      <c r="A114" s="237" t="s">
        <v>4522</v>
      </c>
      <c r="B114" s="1630">
        <v>15216.27</v>
      </c>
      <c r="C114" s="1631"/>
      <c r="D114" s="1632">
        <v>387.19</v>
      </c>
      <c r="E114" s="1633"/>
      <c r="F114" s="1632">
        <f t="shared" si="18"/>
        <v>5891587.5800000001</v>
      </c>
      <c r="G114" s="1634"/>
      <c r="H114" s="1633"/>
      <c r="I114"/>
    </row>
    <row r="115" spans="1:9">
      <c r="A115" s="237" t="s">
        <v>689</v>
      </c>
      <c r="B115" s="1640">
        <f>SUM(B103:C114)</f>
        <v>165650.76999999999</v>
      </c>
      <c r="C115" s="1641"/>
      <c r="D115" s="1632"/>
      <c r="E115" s="1633"/>
      <c r="F115" s="1642">
        <f>SUM(F103:H114)</f>
        <v>62813476.359999999</v>
      </c>
      <c r="G115" s="1643">
        <f>SUM(G103:G114)</f>
        <v>0</v>
      </c>
      <c r="H115" s="1644">
        <f>F115+G115</f>
        <v>62813476.359999999</v>
      </c>
      <c r="I115"/>
    </row>
    <row r="116" spans="1:9">
      <c r="A116" s="233"/>
      <c r="I116"/>
    </row>
    <row r="117" spans="1:9" ht="15.75" customHeight="1">
      <c r="A117" s="1625" t="s">
        <v>708</v>
      </c>
      <c r="B117" s="1626"/>
      <c r="C117" s="1626"/>
      <c r="D117" s="1626"/>
      <c r="E117" s="1626"/>
      <c r="F117" s="1626"/>
      <c r="G117" s="1626"/>
      <c r="H117" s="1627"/>
      <c r="I117"/>
    </row>
    <row r="118" spans="1:9" ht="45" customHeight="1">
      <c r="A118" s="235" t="s">
        <v>681</v>
      </c>
      <c r="B118" s="1638" t="s">
        <v>705</v>
      </c>
      <c r="C118" s="1639"/>
      <c r="D118" s="1638" t="s">
        <v>706</v>
      </c>
      <c r="E118" s="1639"/>
      <c r="F118" s="1638" t="s">
        <v>707</v>
      </c>
      <c r="G118" s="1645"/>
      <c r="H118" s="1639"/>
      <c r="I118"/>
    </row>
    <row r="119" spans="1:9">
      <c r="A119" s="237" t="s">
        <v>1471</v>
      </c>
      <c r="B119" s="1630">
        <v>12748.258</v>
      </c>
      <c r="C119" s="1631"/>
      <c r="D119" s="1632">
        <v>371.86</v>
      </c>
      <c r="E119" s="1633"/>
      <c r="F119" s="1632">
        <f>ROUND(B119*D119,20)</f>
        <v>4740567.2198799998</v>
      </c>
      <c r="G119" s="1634"/>
      <c r="H119" s="1633"/>
      <c r="I119"/>
    </row>
    <row r="120" spans="1:9">
      <c r="A120" s="237" t="s">
        <v>1472</v>
      </c>
      <c r="B120" s="1630">
        <v>13525.455</v>
      </c>
      <c r="C120" s="1631"/>
      <c r="D120" s="1632">
        <v>371.86</v>
      </c>
      <c r="E120" s="1633"/>
      <c r="F120" s="1632">
        <f t="shared" ref="F120:F130" si="19">ROUND(B120*D120,20)</f>
        <v>5029575.6963</v>
      </c>
      <c r="G120" s="1634"/>
      <c r="H120" s="1633"/>
      <c r="I120"/>
    </row>
    <row r="121" spans="1:9">
      <c r="A121" s="237" t="s">
        <v>1473</v>
      </c>
      <c r="B121" s="1630">
        <v>13842.478999999999</v>
      </c>
      <c r="C121" s="1631"/>
      <c r="D121" s="1632">
        <v>371.86</v>
      </c>
      <c r="E121" s="1633"/>
      <c r="F121" s="1632">
        <f t="shared" si="19"/>
        <v>5147464.2409399999</v>
      </c>
      <c r="G121" s="1634"/>
      <c r="H121" s="1633"/>
      <c r="I121"/>
    </row>
    <row r="122" spans="1:9">
      <c r="A122" s="237" t="s">
        <v>1474</v>
      </c>
      <c r="B122" s="1630">
        <v>14478.297</v>
      </c>
      <c r="C122" s="1631"/>
      <c r="D122" s="1632">
        <v>371.86</v>
      </c>
      <c r="E122" s="1633"/>
      <c r="F122" s="1632">
        <f t="shared" si="19"/>
        <v>5383899.5224200003</v>
      </c>
      <c r="G122" s="1634"/>
      <c r="H122" s="1633"/>
      <c r="I122"/>
    </row>
    <row r="123" spans="1:9">
      <c r="A123" s="237" t="s">
        <v>1475</v>
      </c>
      <c r="B123" s="1630">
        <v>11888.732</v>
      </c>
      <c r="C123" s="1631"/>
      <c r="D123" s="1632">
        <v>371.86</v>
      </c>
      <c r="E123" s="1633"/>
      <c r="F123" s="1632">
        <f t="shared" si="19"/>
        <v>4420943.8815200003</v>
      </c>
      <c r="G123" s="1634"/>
      <c r="H123" s="1633"/>
      <c r="I123"/>
    </row>
    <row r="124" spans="1:9">
      <c r="A124" s="237" t="s">
        <v>1476</v>
      </c>
      <c r="B124" s="1636">
        <v>12102.614</v>
      </c>
      <c r="C124" s="1636"/>
      <c r="D124" s="1635">
        <v>371.86</v>
      </c>
      <c r="E124" s="1635"/>
      <c r="F124" s="1632">
        <f t="shared" si="19"/>
        <v>4500478.0420399997</v>
      </c>
      <c r="G124" s="1634"/>
      <c r="H124" s="1633"/>
      <c r="I124"/>
    </row>
    <row r="125" spans="1:9">
      <c r="A125" s="237" t="s">
        <v>1477</v>
      </c>
      <c r="B125" s="1636">
        <v>13527.49</v>
      </c>
      <c r="C125" s="1636"/>
      <c r="D125" s="1635">
        <v>387.19</v>
      </c>
      <c r="E125" s="1635"/>
      <c r="F125" s="1632">
        <f t="shared" si="19"/>
        <v>5237708.8530999999</v>
      </c>
      <c r="G125" s="1634"/>
      <c r="H125" s="1633"/>
      <c r="I125"/>
    </row>
    <row r="126" spans="1:9">
      <c r="A126" s="237" t="s">
        <v>1478</v>
      </c>
      <c r="B126" s="1630">
        <v>8975.0370000000003</v>
      </c>
      <c r="C126" s="1631"/>
      <c r="D126" s="1632">
        <v>387.19</v>
      </c>
      <c r="E126" s="1633"/>
      <c r="F126" s="1632">
        <f t="shared" si="19"/>
        <v>3475044.5760300001</v>
      </c>
      <c r="G126" s="1634"/>
      <c r="H126" s="1633"/>
      <c r="I126"/>
    </row>
    <row r="127" spans="1:9">
      <c r="A127" s="237" t="s">
        <v>1479</v>
      </c>
      <c r="B127" s="1630">
        <v>8138.7089999999998</v>
      </c>
      <c r="C127" s="1631"/>
      <c r="D127" s="1632">
        <v>387.19</v>
      </c>
      <c r="E127" s="1633"/>
      <c r="F127" s="1632">
        <f t="shared" si="19"/>
        <v>3151226.73771</v>
      </c>
      <c r="G127" s="1634"/>
      <c r="H127" s="1633"/>
      <c r="I127"/>
    </row>
    <row r="128" spans="1:9">
      <c r="A128" s="237" t="s">
        <v>1480</v>
      </c>
      <c r="B128" s="1630">
        <f>12567.079+1037.186</f>
        <v>13604.264999999999</v>
      </c>
      <c r="C128" s="1631"/>
      <c r="D128" s="1632">
        <v>387.19</v>
      </c>
      <c r="E128" s="1633"/>
      <c r="F128" s="1632">
        <f t="shared" si="19"/>
        <v>5267435.3653499996</v>
      </c>
      <c r="G128" s="1634"/>
      <c r="H128" s="1633"/>
      <c r="I128"/>
    </row>
    <row r="129" spans="1:9">
      <c r="A129" s="237" t="s">
        <v>1481</v>
      </c>
      <c r="B129" s="1630">
        <v>11356.172</v>
      </c>
      <c r="C129" s="1631"/>
      <c r="D129" s="1632">
        <v>387.19</v>
      </c>
      <c r="E129" s="1633"/>
      <c r="F129" s="1632">
        <f t="shared" si="19"/>
        <v>4396996.2366800001</v>
      </c>
      <c r="G129" s="1634"/>
      <c r="H129" s="1633"/>
      <c r="I129"/>
    </row>
    <row r="130" spans="1:9">
      <c r="A130" s="237" t="s">
        <v>4522</v>
      </c>
      <c r="B130" s="1630">
        <v>13984.225</v>
      </c>
      <c r="C130" s="1631"/>
      <c r="D130" s="1632">
        <v>387.19</v>
      </c>
      <c r="E130" s="1633"/>
      <c r="F130" s="1632">
        <f t="shared" si="19"/>
        <v>5414552.0777500002</v>
      </c>
      <c r="G130" s="1634"/>
      <c r="H130" s="1633"/>
      <c r="I130"/>
    </row>
    <row r="131" spans="1:9">
      <c r="A131" s="237" t="s">
        <v>689</v>
      </c>
      <c r="B131" s="1640">
        <f>SUM(B119:C130)</f>
        <v>148171.73300000001</v>
      </c>
      <c r="C131" s="1641"/>
      <c r="D131" s="1632"/>
      <c r="E131" s="1633"/>
      <c r="F131" s="1642">
        <f>SUM(F119:H130)</f>
        <v>56165892.449720003</v>
      </c>
      <c r="G131" s="1643">
        <f>SUM(G119:G130)</f>
        <v>0</v>
      </c>
      <c r="H131" s="1644">
        <f>F131+G131</f>
        <v>56165892.449720003</v>
      </c>
      <c r="I131" s="242"/>
    </row>
    <row r="132" spans="1:9" ht="18.75">
      <c r="A132" s="1629" t="s">
        <v>709</v>
      </c>
      <c r="B132" s="1629"/>
      <c r="C132" s="1629"/>
      <c r="D132" s="1629"/>
      <c r="E132" s="1629"/>
      <c r="F132" s="1629"/>
      <c r="G132" s="1629"/>
      <c r="H132" s="1629"/>
      <c r="I132" s="242"/>
    </row>
    <row r="133" spans="1:9">
      <c r="A133" s="1625" t="s">
        <v>710</v>
      </c>
      <c r="B133" s="1626"/>
      <c r="C133" s="1626"/>
      <c r="D133" s="1626"/>
      <c r="E133" s="1626"/>
      <c r="F133" s="1626"/>
      <c r="G133" s="1626"/>
      <c r="H133" s="1627"/>
      <c r="I133"/>
    </row>
    <row r="134" spans="1:9" ht="31.5" customHeight="1">
      <c r="A134" s="235" t="s">
        <v>681</v>
      </c>
      <c r="B134" s="1638" t="s">
        <v>705</v>
      </c>
      <c r="C134" s="1639"/>
      <c r="D134" s="1638" t="s">
        <v>706</v>
      </c>
      <c r="E134" s="1639"/>
      <c r="F134" s="1638" t="s">
        <v>707</v>
      </c>
      <c r="G134" s="1645"/>
      <c r="H134" s="1639"/>
      <c r="I134"/>
    </row>
    <row r="135" spans="1:9">
      <c r="A135" s="237" t="s">
        <v>1471</v>
      </c>
      <c r="B135" s="1630">
        <v>14452.05</v>
      </c>
      <c r="C135" s="1631"/>
      <c r="D135" s="1632">
        <v>414.03</v>
      </c>
      <c r="E135" s="1633"/>
      <c r="F135" s="1632">
        <f>ROUND(B135*D135,2)</f>
        <v>5983582.2599999998</v>
      </c>
      <c r="G135" s="1634"/>
      <c r="H135" s="1633"/>
      <c r="I135"/>
    </row>
    <row r="136" spans="1:9">
      <c r="A136" s="237" t="s">
        <v>1472</v>
      </c>
      <c r="B136" s="1630">
        <v>15295.46</v>
      </c>
      <c r="C136" s="1631"/>
      <c r="D136" s="1632">
        <v>414.03</v>
      </c>
      <c r="E136" s="1633"/>
      <c r="F136" s="1632">
        <f t="shared" ref="F136:F146" si="20">ROUND(B136*D136,2)</f>
        <v>6332779.2999999998</v>
      </c>
      <c r="G136" s="1634"/>
      <c r="H136" s="1633"/>
      <c r="I136"/>
    </row>
    <row r="137" spans="1:9">
      <c r="A137" s="237" t="s">
        <v>1473</v>
      </c>
      <c r="B137" s="1630">
        <v>14965.28</v>
      </c>
      <c r="C137" s="1631"/>
      <c r="D137" s="1632">
        <v>414.03</v>
      </c>
      <c r="E137" s="1633"/>
      <c r="F137" s="1632">
        <f t="shared" si="20"/>
        <v>6196074.8799999999</v>
      </c>
      <c r="G137" s="1634"/>
      <c r="H137" s="1633"/>
      <c r="I137"/>
    </row>
    <row r="138" spans="1:9">
      <c r="A138" s="237" t="s">
        <v>1474</v>
      </c>
      <c r="B138" s="1630">
        <v>14652.97</v>
      </c>
      <c r="C138" s="1631"/>
      <c r="D138" s="1632">
        <v>414.03</v>
      </c>
      <c r="E138" s="1633"/>
      <c r="F138" s="1632">
        <f t="shared" si="20"/>
        <v>6066769.1699999999</v>
      </c>
      <c r="G138" s="1634"/>
      <c r="H138" s="1633"/>
      <c r="I138"/>
    </row>
    <row r="139" spans="1:9">
      <c r="A139" s="237" t="s">
        <v>1475</v>
      </c>
      <c r="B139" s="1630">
        <v>12832.39</v>
      </c>
      <c r="C139" s="1631"/>
      <c r="D139" s="1632">
        <v>414.03</v>
      </c>
      <c r="E139" s="1633"/>
      <c r="F139" s="1632">
        <f t="shared" si="20"/>
        <v>5312994.43</v>
      </c>
      <c r="G139" s="1634"/>
      <c r="H139" s="1633"/>
      <c r="I139"/>
    </row>
    <row r="140" spans="1:9">
      <c r="A140" s="237" t="s">
        <v>1476</v>
      </c>
      <c r="B140" s="1636">
        <v>11256.07</v>
      </c>
      <c r="C140" s="1636"/>
      <c r="D140" s="1632">
        <v>414.03</v>
      </c>
      <c r="E140" s="1633"/>
      <c r="F140" s="1635">
        <f t="shared" si="20"/>
        <v>4660350.66</v>
      </c>
      <c r="G140" s="1635"/>
      <c r="H140" s="1635"/>
      <c r="I140"/>
    </row>
    <row r="141" spans="1:9">
      <c r="A141" s="237" t="s">
        <v>1477</v>
      </c>
      <c r="B141" s="1636">
        <v>12349.57</v>
      </c>
      <c r="C141" s="1636"/>
      <c r="D141" s="1635">
        <v>453.82</v>
      </c>
      <c r="E141" s="1635"/>
      <c r="F141" s="1635">
        <f t="shared" si="20"/>
        <v>5604481.8600000003</v>
      </c>
      <c r="G141" s="1635"/>
      <c r="H141" s="1635"/>
      <c r="I141"/>
    </row>
    <row r="142" spans="1:9">
      <c r="A142" s="237" t="s">
        <v>1478</v>
      </c>
      <c r="B142" s="1630">
        <v>10369.459999999999</v>
      </c>
      <c r="C142" s="1631"/>
      <c r="D142" s="1635">
        <v>453.82</v>
      </c>
      <c r="E142" s="1635"/>
      <c r="F142" s="1632">
        <f t="shared" si="20"/>
        <v>4705868.34</v>
      </c>
      <c r="G142" s="1634"/>
      <c r="H142" s="1633"/>
      <c r="I142"/>
    </row>
    <row r="143" spans="1:9">
      <c r="A143" s="237" t="s">
        <v>1479</v>
      </c>
      <c r="B143" s="1646">
        <v>7165.41</v>
      </c>
      <c r="C143" s="1647"/>
      <c r="D143" s="1635">
        <v>453.82</v>
      </c>
      <c r="E143" s="1635"/>
      <c r="F143" s="1632">
        <f t="shared" si="20"/>
        <v>3251806.37</v>
      </c>
      <c r="G143" s="1634"/>
      <c r="H143" s="1633"/>
      <c r="I143"/>
    </row>
    <row r="144" spans="1:9">
      <c r="A144" s="237" t="s">
        <v>1480</v>
      </c>
      <c r="B144" s="1630">
        <v>12829.73</v>
      </c>
      <c r="C144" s="1631"/>
      <c r="D144" s="1635">
        <v>453.82</v>
      </c>
      <c r="E144" s="1635"/>
      <c r="F144" s="1632">
        <f t="shared" si="20"/>
        <v>5822388.0700000003</v>
      </c>
      <c r="G144" s="1634"/>
      <c r="H144" s="1633"/>
      <c r="I144"/>
    </row>
    <row r="145" spans="1:9">
      <c r="A145" s="237" t="s">
        <v>1481</v>
      </c>
      <c r="B145" s="1630">
        <v>13565.69</v>
      </c>
      <c r="C145" s="1631"/>
      <c r="D145" s="1635">
        <v>453.82</v>
      </c>
      <c r="E145" s="1635"/>
      <c r="F145" s="1632">
        <f t="shared" si="20"/>
        <v>6156381.4400000004</v>
      </c>
      <c r="G145" s="1634"/>
      <c r="H145" s="1633"/>
      <c r="I145"/>
    </row>
    <row r="146" spans="1:9">
      <c r="A146" s="237" t="s">
        <v>4522</v>
      </c>
      <c r="B146" s="1630">
        <v>15053.08</v>
      </c>
      <c r="C146" s="1631"/>
      <c r="D146" s="1635">
        <v>453.82</v>
      </c>
      <c r="E146" s="1635"/>
      <c r="F146" s="1632">
        <f t="shared" si="20"/>
        <v>6831388.7699999996</v>
      </c>
      <c r="G146" s="1634"/>
      <c r="H146" s="1633"/>
      <c r="I146"/>
    </row>
    <row r="147" spans="1:9">
      <c r="A147" s="237" t="s">
        <v>689</v>
      </c>
      <c r="B147" s="1640">
        <f>SUM(B135:C146)</f>
        <v>154787.15999999997</v>
      </c>
      <c r="C147" s="1641"/>
      <c r="D147" s="1632"/>
      <c r="E147" s="1633"/>
      <c r="F147" s="1642">
        <f>SUM(F135:H146)</f>
        <v>66924865.549999997</v>
      </c>
      <c r="G147" s="1643">
        <f>SUM(G135:G146)</f>
        <v>0</v>
      </c>
      <c r="H147" s="1644">
        <f>F147+G147</f>
        <v>66924865.549999997</v>
      </c>
      <c r="I147"/>
    </row>
    <row r="148" spans="1:9">
      <c r="A148" s="233"/>
      <c r="I148"/>
    </row>
    <row r="149" spans="1:9">
      <c r="A149" s="1625" t="s">
        <v>711</v>
      </c>
      <c r="B149" s="1626"/>
      <c r="C149" s="1626"/>
      <c r="D149" s="1626"/>
      <c r="E149" s="1626"/>
      <c r="F149" s="1626"/>
      <c r="G149" s="1626"/>
      <c r="H149" s="1627"/>
      <c r="I149"/>
    </row>
    <row r="150" spans="1:9" ht="30" customHeight="1">
      <c r="A150" s="235" t="s">
        <v>681</v>
      </c>
      <c r="B150" s="1638" t="s">
        <v>705</v>
      </c>
      <c r="C150" s="1639"/>
      <c r="D150" s="1638" t="s">
        <v>706</v>
      </c>
      <c r="E150" s="1639"/>
      <c r="F150" s="1638" t="s">
        <v>707</v>
      </c>
      <c r="G150" s="1645"/>
      <c r="H150" s="1639"/>
      <c r="I150"/>
    </row>
    <row r="151" spans="1:9">
      <c r="A151" s="237" t="s">
        <v>1471</v>
      </c>
      <c r="B151" s="1630">
        <v>12873.888000000001</v>
      </c>
      <c r="C151" s="1631"/>
      <c r="D151" s="1632">
        <v>414.03</v>
      </c>
      <c r="E151" s="1633"/>
      <c r="F151" s="1632">
        <f>ROUND(B151*D151,20)</f>
        <v>5330175.8486400004</v>
      </c>
      <c r="G151" s="1634"/>
      <c r="H151" s="1633"/>
      <c r="I151"/>
    </row>
    <row r="152" spans="1:9">
      <c r="A152" s="237" t="s">
        <v>1472</v>
      </c>
      <c r="B152" s="1630">
        <v>15313.096</v>
      </c>
      <c r="C152" s="1631"/>
      <c r="D152" s="1632">
        <v>414.03</v>
      </c>
      <c r="E152" s="1633"/>
      <c r="F152" s="1632">
        <f t="shared" ref="F152:F162" si="21">ROUND(B152*D152,20)</f>
        <v>6340081.1368800001</v>
      </c>
      <c r="G152" s="1634"/>
      <c r="H152" s="1633"/>
      <c r="I152"/>
    </row>
    <row r="153" spans="1:9">
      <c r="A153" s="237" t="s">
        <v>1473</v>
      </c>
      <c r="B153" s="1630">
        <v>14747.572</v>
      </c>
      <c r="C153" s="1631"/>
      <c r="D153" s="1632">
        <v>414.03</v>
      </c>
      <c r="E153" s="1633"/>
      <c r="F153" s="1632">
        <f t="shared" si="21"/>
        <v>6105937.2351599997</v>
      </c>
      <c r="G153" s="1634"/>
      <c r="H153" s="1633"/>
      <c r="I153"/>
    </row>
    <row r="154" spans="1:9">
      <c r="A154" s="237" t="s">
        <v>1474</v>
      </c>
      <c r="B154" s="1630">
        <v>15086.285</v>
      </c>
      <c r="C154" s="1631"/>
      <c r="D154" s="1632">
        <v>414.03</v>
      </c>
      <c r="E154" s="1633"/>
      <c r="F154" s="1632">
        <f t="shared" si="21"/>
        <v>6246174.5785499997</v>
      </c>
      <c r="G154" s="1634"/>
      <c r="H154" s="1633"/>
      <c r="I154"/>
    </row>
    <row r="155" spans="1:9">
      <c r="A155" s="237" t="s">
        <v>1475</v>
      </c>
      <c r="B155" s="1630">
        <v>13634.232</v>
      </c>
      <c r="C155" s="1631"/>
      <c r="D155" s="1632">
        <v>414.03</v>
      </c>
      <c r="E155" s="1633"/>
      <c r="F155" s="1632">
        <f>ROUND(B155*D155,20)</f>
        <v>5644981.0749599999</v>
      </c>
      <c r="G155" s="1634"/>
      <c r="H155" s="1633"/>
      <c r="I155"/>
    </row>
    <row r="156" spans="1:9">
      <c r="A156" s="237" t="s">
        <v>1476</v>
      </c>
      <c r="B156" s="1636">
        <v>12857.571</v>
      </c>
      <c r="C156" s="1636"/>
      <c r="D156" s="1632">
        <v>414.03</v>
      </c>
      <c r="E156" s="1633"/>
      <c r="F156" s="1632">
        <f t="shared" si="21"/>
        <v>5323420.1211299999</v>
      </c>
      <c r="G156" s="1634"/>
      <c r="H156" s="1633"/>
      <c r="I156"/>
    </row>
    <row r="157" spans="1:9">
      <c r="A157" s="237" t="s">
        <v>1477</v>
      </c>
      <c r="B157" s="1636">
        <v>14198.294</v>
      </c>
      <c r="C157" s="1636"/>
      <c r="D157" s="1635">
        <v>453.82</v>
      </c>
      <c r="E157" s="1635"/>
      <c r="F157" s="1632">
        <f t="shared" si="21"/>
        <v>6443469.7830800004</v>
      </c>
      <c r="G157" s="1634"/>
      <c r="H157" s="1633"/>
      <c r="I157"/>
    </row>
    <row r="158" spans="1:9">
      <c r="A158" s="237" t="s">
        <v>1478</v>
      </c>
      <c r="B158" s="1630">
        <v>10979.222</v>
      </c>
      <c r="C158" s="1631"/>
      <c r="D158" s="1635">
        <v>453.82</v>
      </c>
      <c r="E158" s="1635"/>
      <c r="F158" s="1632">
        <f t="shared" si="21"/>
        <v>4982590.5280400002</v>
      </c>
      <c r="G158" s="1634"/>
      <c r="H158" s="1633"/>
      <c r="I158"/>
    </row>
    <row r="159" spans="1:9">
      <c r="A159" s="237" t="s">
        <v>1479</v>
      </c>
      <c r="B159" s="1630">
        <v>6485.1090000000004</v>
      </c>
      <c r="C159" s="1631"/>
      <c r="D159" s="1635">
        <v>453.82</v>
      </c>
      <c r="E159" s="1635"/>
      <c r="F159" s="1632">
        <f t="shared" si="21"/>
        <v>2943072.1663799998</v>
      </c>
      <c r="G159" s="1634"/>
      <c r="H159" s="1633"/>
      <c r="I159"/>
    </row>
    <row r="160" spans="1:9">
      <c r="A160" s="237" t="s">
        <v>1480</v>
      </c>
      <c r="B160" s="1630">
        <v>12660.782999999999</v>
      </c>
      <c r="C160" s="1631"/>
      <c r="D160" s="1635">
        <v>453.82</v>
      </c>
      <c r="E160" s="1635"/>
      <c r="F160" s="1632">
        <f t="shared" si="21"/>
        <v>5745716.5410599997</v>
      </c>
      <c r="G160" s="1634"/>
      <c r="H160" s="1633"/>
      <c r="I160"/>
    </row>
    <row r="161" spans="1:9">
      <c r="A161" s="237" t="s">
        <v>1481</v>
      </c>
      <c r="B161" s="1630">
        <v>10924.33</v>
      </c>
      <c r="C161" s="1631"/>
      <c r="D161" s="1635">
        <v>453.82</v>
      </c>
      <c r="E161" s="1635"/>
      <c r="F161" s="1632">
        <f t="shared" si="21"/>
        <v>4957679.4406000003</v>
      </c>
      <c r="G161" s="1634"/>
      <c r="H161" s="1633"/>
      <c r="I161"/>
    </row>
    <row r="162" spans="1:9">
      <c r="A162" s="237" t="s">
        <v>4522</v>
      </c>
      <c r="B162" s="1630">
        <v>12128.718999999999</v>
      </c>
      <c r="C162" s="1631"/>
      <c r="D162" s="1635">
        <v>453.82</v>
      </c>
      <c r="E162" s="1635"/>
      <c r="F162" s="1632">
        <f t="shared" si="21"/>
        <v>5504255.2565799998</v>
      </c>
      <c r="G162" s="1634"/>
      <c r="H162" s="1633"/>
      <c r="I162"/>
    </row>
    <row r="163" spans="1:9">
      <c r="A163" s="237" t="s">
        <v>689</v>
      </c>
      <c r="B163" s="1640">
        <f>SUM(B151:C162)</f>
        <v>151889.101</v>
      </c>
      <c r="C163" s="1641"/>
      <c r="D163" s="1632"/>
      <c r="E163" s="1633"/>
      <c r="F163" s="1642">
        <f>SUM(F151:H162)</f>
        <v>65567553.71106001</v>
      </c>
      <c r="G163" s="1643">
        <f>SUM(G151:G162)</f>
        <v>0</v>
      </c>
      <c r="H163" s="1644">
        <f>F163+G163</f>
        <v>65567553.71106001</v>
      </c>
      <c r="I163"/>
    </row>
    <row r="164" spans="1:9" ht="18.75">
      <c r="A164" s="1629" t="s">
        <v>712</v>
      </c>
      <c r="B164" s="1629"/>
      <c r="C164" s="1629"/>
      <c r="D164" s="1629"/>
      <c r="E164" s="1629"/>
      <c r="F164" s="1629"/>
      <c r="G164" s="1629"/>
      <c r="H164" s="1629"/>
      <c r="I164"/>
    </row>
    <row r="165" spans="1:9" ht="47.25" customHeight="1">
      <c r="A165" s="1637" t="s">
        <v>1482</v>
      </c>
      <c r="B165" s="1637"/>
      <c r="C165" s="1637"/>
      <c r="D165" s="1637"/>
      <c r="E165" s="1637"/>
      <c r="F165" s="1637"/>
      <c r="G165" s="1637"/>
      <c r="H165" s="1637"/>
      <c r="I165"/>
    </row>
    <row r="166" spans="1:9">
      <c r="A166" s="1625" t="s">
        <v>1483</v>
      </c>
      <c r="B166" s="1626"/>
      <c r="C166" s="1626"/>
      <c r="D166" s="1626"/>
      <c r="E166" s="1626"/>
      <c r="F166" s="1626"/>
      <c r="G166" s="1626"/>
      <c r="H166" s="1627"/>
      <c r="I166"/>
    </row>
    <row r="167" spans="1:9" ht="78.75">
      <c r="A167" s="235" t="s">
        <v>681</v>
      </c>
      <c r="B167" s="235" t="s">
        <v>1484</v>
      </c>
      <c r="C167" s="235" t="s">
        <v>1485</v>
      </c>
      <c r="D167" s="235" t="s">
        <v>1486</v>
      </c>
      <c r="E167" s="235" t="s">
        <v>1487</v>
      </c>
      <c r="F167" s="235" t="s">
        <v>686</v>
      </c>
      <c r="G167" s="235" t="s">
        <v>687</v>
      </c>
      <c r="H167" s="236" t="s">
        <v>688</v>
      </c>
      <c r="I167"/>
    </row>
    <row r="168" spans="1:9">
      <c r="A168" s="237" t="s">
        <v>1471</v>
      </c>
      <c r="B168" s="238">
        <v>12839648</v>
      </c>
      <c r="C168" s="238">
        <v>59508</v>
      </c>
      <c r="D168" s="237">
        <v>70.5</v>
      </c>
      <c r="E168" s="237">
        <v>0.12</v>
      </c>
      <c r="F168" s="237">
        <f>E168*B168/1000</f>
        <v>1540.75776</v>
      </c>
      <c r="G168" s="237">
        <f>D168*C168</f>
        <v>4195314</v>
      </c>
      <c r="H168" s="237">
        <f>F168+G168</f>
        <v>4196854.7577600004</v>
      </c>
      <c r="I168"/>
    </row>
    <row r="169" spans="1:9">
      <c r="A169" s="237" t="s">
        <v>1472</v>
      </c>
      <c r="B169" s="238">
        <v>15636052</v>
      </c>
      <c r="C169" s="238">
        <v>63908</v>
      </c>
      <c r="D169" s="237">
        <v>70.5</v>
      </c>
      <c r="E169" s="237">
        <v>0.12</v>
      </c>
      <c r="F169" s="237">
        <f t="shared" ref="F169:F179" si="22">E169*B169/1000</f>
        <v>1876.3262400000001</v>
      </c>
      <c r="G169" s="237">
        <f t="shared" ref="G169:G179" si="23">D169*C169</f>
        <v>4505514</v>
      </c>
      <c r="H169" s="237">
        <f t="shared" ref="H169:H179" si="24">F169+G169</f>
        <v>4507390.3262400003</v>
      </c>
      <c r="I169"/>
    </row>
    <row r="170" spans="1:9">
      <c r="A170" s="237" t="s">
        <v>1473</v>
      </c>
      <c r="B170" s="238">
        <v>14853596</v>
      </c>
      <c r="C170" s="238">
        <v>58988</v>
      </c>
      <c r="D170" s="237">
        <v>70.5</v>
      </c>
      <c r="E170" s="237">
        <v>0.12</v>
      </c>
      <c r="F170" s="237">
        <f t="shared" si="22"/>
        <v>1782.4315200000001</v>
      </c>
      <c r="G170" s="237">
        <f t="shared" si="23"/>
        <v>4158654</v>
      </c>
      <c r="H170" s="237">
        <f t="shared" si="24"/>
        <v>4160436.4315200001</v>
      </c>
      <c r="I170"/>
    </row>
    <row r="171" spans="1:9">
      <c r="A171" s="237" t="s">
        <v>1474</v>
      </c>
      <c r="B171" s="238">
        <v>15163817</v>
      </c>
      <c r="C171" s="238">
        <v>67795</v>
      </c>
      <c r="D171" s="237">
        <v>70.5</v>
      </c>
      <c r="E171" s="237">
        <v>0.12</v>
      </c>
      <c r="F171" s="237">
        <f t="shared" si="22"/>
        <v>1819.65804</v>
      </c>
      <c r="G171" s="237">
        <f t="shared" si="23"/>
        <v>4779547.5</v>
      </c>
      <c r="H171" s="237">
        <f t="shared" si="24"/>
        <v>4781367.1580400001</v>
      </c>
      <c r="I171"/>
    </row>
    <row r="172" spans="1:9">
      <c r="A172" s="237" t="s">
        <v>1475</v>
      </c>
      <c r="B172" s="238">
        <v>13685529.4</v>
      </c>
      <c r="C172" s="238">
        <v>71747</v>
      </c>
      <c r="D172" s="237">
        <v>70.5</v>
      </c>
      <c r="E172" s="237">
        <v>0.12</v>
      </c>
      <c r="F172" s="237">
        <f t="shared" si="22"/>
        <v>1642.263528</v>
      </c>
      <c r="G172" s="237">
        <f t="shared" si="23"/>
        <v>5058163.5</v>
      </c>
      <c r="H172" s="237">
        <f t="shared" si="24"/>
        <v>5059805.7635279996</v>
      </c>
      <c r="I172"/>
    </row>
    <row r="173" spans="1:9">
      <c r="A173" s="237" t="s">
        <v>1476</v>
      </c>
      <c r="B173" s="238">
        <v>13019119.800000001</v>
      </c>
      <c r="C173" s="238">
        <v>76458</v>
      </c>
      <c r="D173" s="237">
        <v>70.5</v>
      </c>
      <c r="E173" s="237">
        <v>0.12</v>
      </c>
      <c r="F173" s="237">
        <f t="shared" si="22"/>
        <v>1562.2943759999998</v>
      </c>
      <c r="G173" s="237">
        <f t="shared" si="23"/>
        <v>5390289</v>
      </c>
      <c r="H173" s="237">
        <f t="shared" si="24"/>
        <v>5391851.2943759998</v>
      </c>
      <c r="I173"/>
    </row>
    <row r="174" spans="1:9">
      <c r="A174" s="237" t="s">
        <v>1477</v>
      </c>
      <c r="B174" s="238">
        <v>14214335.799999999</v>
      </c>
      <c r="C174" s="238">
        <v>78333</v>
      </c>
      <c r="D174" s="237">
        <v>70.5</v>
      </c>
      <c r="E174" s="237">
        <v>0.15</v>
      </c>
      <c r="F174" s="237">
        <f t="shared" si="22"/>
        <v>2132.1503699999998</v>
      </c>
      <c r="G174" s="237">
        <f t="shared" si="23"/>
        <v>5522476.5</v>
      </c>
      <c r="H174" s="237">
        <f t="shared" si="24"/>
        <v>5524608.6503699999</v>
      </c>
      <c r="I174"/>
    </row>
    <row r="175" spans="1:9">
      <c r="A175" s="237" t="s">
        <v>1478</v>
      </c>
      <c r="B175" s="238">
        <v>11015133.399999999</v>
      </c>
      <c r="C175" s="238">
        <v>70061</v>
      </c>
      <c r="D175" s="237">
        <v>70.5</v>
      </c>
      <c r="E175" s="237">
        <v>0.15</v>
      </c>
      <c r="F175" s="237">
        <f t="shared" si="22"/>
        <v>1652.2700099999997</v>
      </c>
      <c r="G175" s="237">
        <f t="shared" si="23"/>
        <v>4939300.5</v>
      </c>
      <c r="H175" s="237">
        <f t="shared" si="24"/>
        <v>4940952.7700100001</v>
      </c>
      <c r="I175"/>
    </row>
    <row r="176" spans="1:9">
      <c r="A176" s="237" t="s">
        <v>1479</v>
      </c>
      <c r="B176" s="238">
        <v>8727140.1999999993</v>
      </c>
      <c r="C176" s="238">
        <v>62287</v>
      </c>
      <c r="D176" s="237">
        <v>70.5</v>
      </c>
      <c r="E176" s="237">
        <v>0.15</v>
      </c>
      <c r="F176" s="237">
        <f t="shared" si="22"/>
        <v>1309.0710299999998</v>
      </c>
      <c r="G176" s="237">
        <f t="shared" si="23"/>
        <v>4391233.5</v>
      </c>
      <c r="H176" s="237">
        <f t="shared" si="24"/>
        <v>4392542.5710300002</v>
      </c>
      <c r="I176"/>
    </row>
    <row r="177" spans="1:9">
      <c r="A177" s="237" t="s">
        <v>1480</v>
      </c>
      <c r="B177" s="238">
        <v>13318508</v>
      </c>
      <c r="C177" s="238">
        <v>72096</v>
      </c>
      <c r="D177" s="237">
        <v>70.5</v>
      </c>
      <c r="E177" s="237">
        <v>0.15</v>
      </c>
      <c r="F177" s="237">
        <f t="shared" si="22"/>
        <v>1997.7762</v>
      </c>
      <c r="G177" s="237">
        <f t="shared" si="23"/>
        <v>5082768</v>
      </c>
      <c r="H177" s="237">
        <f t="shared" si="24"/>
        <v>5084765.7762000002</v>
      </c>
      <c r="I177"/>
    </row>
    <row r="178" spans="1:9">
      <c r="A178" s="237" t="s">
        <v>1481</v>
      </c>
      <c r="B178" s="238">
        <v>13006440</v>
      </c>
      <c r="C178" s="238">
        <v>74878</v>
      </c>
      <c r="D178" s="237">
        <v>70.5</v>
      </c>
      <c r="E178" s="237">
        <v>0.15</v>
      </c>
      <c r="F178" s="237">
        <f t="shared" si="22"/>
        <v>1950.9659999999999</v>
      </c>
      <c r="G178" s="237">
        <f t="shared" si="23"/>
        <v>5278899</v>
      </c>
      <c r="H178" s="237">
        <f t="shared" si="24"/>
        <v>5280849.966</v>
      </c>
      <c r="I178"/>
    </row>
    <row r="179" spans="1:9">
      <c r="A179" s="237" t="s">
        <v>4522</v>
      </c>
      <c r="B179" s="238">
        <v>13008943</v>
      </c>
      <c r="C179" s="238">
        <v>72537</v>
      </c>
      <c r="D179" s="237">
        <v>70.5</v>
      </c>
      <c r="E179" s="237">
        <v>0.15</v>
      </c>
      <c r="F179" s="237">
        <f t="shared" si="22"/>
        <v>1951.3414499999999</v>
      </c>
      <c r="G179" s="237">
        <f t="shared" si="23"/>
        <v>5113858.5</v>
      </c>
      <c r="H179" s="237">
        <f t="shared" si="24"/>
        <v>5115809.8414500002</v>
      </c>
      <c r="I179"/>
    </row>
    <row r="180" spans="1:9">
      <c r="A180" s="237" t="s">
        <v>689</v>
      </c>
      <c r="B180" s="241">
        <f>SUM(B168:B179)</f>
        <v>158488262.60000002</v>
      </c>
      <c r="C180" s="237"/>
      <c r="D180" s="237"/>
      <c r="E180" s="237"/>
      <c r="F180" s="240">
        <f>SUM(F168:F179)</f>
        <v>21217.306524</v>
      </c>
      <c r="G180" s="240">
        <f>SUM(G168:G179)</f>
        <v>58416018</v>
      </c>
      <c r="H180" s="240">
        <f>F180+G180</f>
        <v>58437235.306524001</v>
      </c>
      <c r="I180"/>
    </row>
    <row r="181" spans="1:9">
      <c r="A181" s="233"/>
      <c r="I181"/>
    </row>
    <row r="182" spans="1:9">
      <c r="A182" s="1625" t="s">
        <v>1488</v>
      </c>
      <c r="B182" s="1626"/>
      <c r="C182" s="1626"/>
      <c r="D182" s="1626"/>
      <c r="E182" s="1626"/>
      <c r="F182" s="1626"/>
      <c r="G182" s="1626"/>
      <c r="H182" s="1627"/>
      <c r="I182"/>
    </row>
    <row r="183" spans="1:9" ht="78.75">
      <c r="A183" s="235" t="s">
        <v>681</v>
      </c>
      <c r="B183" s="235" t="s">
        <v>1484</v>
      </c>
      <c r="C183" s="235" t="s">
        <v>1485</v>
      </c>
      <c r="D183" s="235" t="s">
        <v>1486</v>
      </c>
      <c r="E183" s="235" t="s">
        <v>1487</v>
      </c>
      <c r="F183" s="235" t="s">
        <v>686</v>
      </c>
      <c r="G183" s="235" t="s">
        <v>687</v>
      </c>
      <c r="H183" s="236" t="s">
        <v>688</v>
      </c>
      <c r="I183"/>
    </row>
    <row r="184" spans="1:9">
      <c r="A184" s="237" t="s">
        <v>1471</v>
      </c>
      <c r="B184" s="238">
        <v>10658303</v>
      </c>
      <c r="C184" s="238">
        <v>59508</v>
      </c>
      <c r="D184" s="237">
        <v>70.5</v>
      </c>
      <c r="E184" s="237">
        <v>0.12</v>
      </c>
      <c r="F184" s="237">
        <f>E184*B184</f>
        <v>1278996.3599999999</v>
      </c>
      <c r="G184" s="237">
        <f>D184*C184</f>
        <v>4195314</v>
      </c>
      <c r="H184" s="237">
        <f>F184+G184</f>
        <v>5474310.3599999994</v>
      </c>
      <c r="I184"/>
    </row>
    <row r="185" spans="1:9">
      <c r="A185" s="237" t="s">
        <v>1472</v>
      </c>
      <c r="B185" s="238">
        <v>12011566</v>
      </c>
      <c r="C185" s="238">
        <v>63908</v>
      </c>
      <c r="D185" s="237">
        <v>70.5</v>
      </c>
      <c r="E185" s="237">
        <v>0.12</v>
      </c>
      <c r="F185" s="237">
        <f t="shared" ref="F185:F195" si="25">E185*B185</f>
        <v>1441387.92</v>
      </c>
      <c r="G185" s="237">
        <f t="shared" ref="G185:G195" si="26">D185*C185</f>
        <v>4505514</v>
      </c>
      <c r="H185" s="237">
        <f t="shared" ref="H185:H196" si="27">F185+G185</f>
        <v>5946901.9199999999</v>
      </c>
      <c r="I185"/>
    </row>
    <row r="186" spans="1:9">
      <c r="A186" s="237" t="s">
        <v>1473</v>
      </c>
      <c r="B186" s="238">
        <v>13484079</v>
      </c>
      <c r="C186" s="238">
        <v>58988</v>
      </c>
      <c r="D186" s="237">
        <v>70.5</v>
      </c>
      <c r="E186" s="237">
        <v>0.12</v>
      </c>
      <c r="F186" s="237">
        <f t="shared" si="25"/>
        <v>1618089.48</v>
      </c>
      <c r="G186" s="237">
        <f t="shared" si="26"/>
        <v>4158654</v>
      </c>
      <c r="H186" s="237">
        <f t="shared" si="27"/>
        <v>5776743.4800000004</v>
      </c>
      <c r="I186"/>
    </row>
    <row r="187" spans="1:9">
      <c r="A187" s="237" t="s">
        <v>1474</v>
      </c>
      <c r="B187" s="238">
        <v>14027172</v>
      </c>
      <c r="C187" s="238">
        <v>67795</v>
      </c>
      <c r="D187" s="237">
        <v>70.5</v>
      </c>
      <c r="E187" s="237">
        <v>0.12</v>
      </c>
      <c r="F187" s="237">
        <f t="shared" si="25"/>
        <v>1683260.64</v>
      </c>
      <c r="G187" s="237">
        <f t="shared" si="26"/>
        <v>4779547.5</v>
      </c>
      <c r="H187" s="237">
        <f t="shared" si="27"/>
        <v>6462808.1399999997</v>
      </c>
      <c r="I187"/>
    </row>
    <row r="188" spans="1:9">
      <c r="A188" s="237" t="s">
        <v>1475</v>
      </c>
      <c r="B188" s="238">
        <v>12593855</v>
      </c>
      <c r="C188" s="238">
        <v>71747</v>
      </c>
      <c r="D188" s="237">
        <v>70.5</v>
      </c>
      <c r="E188" s="237">
        <v>0.12</v>
      </c>
      <c r="F188" s="237">
        <f t="shared" si="25"/>
        <v>1511262.5999999999</v>
      </c>
      <c r="G188" s="237">
        <f t="shared" si="26"/>
        <v>5058163.5</v>
      </c>
      <c r="H188" s="237">
        <f t="shared" si="27"/>
        <v>6569426.0999999996</v>
      </c>
      <c r="I188"/>
    </row>
    <row r="189" spans="1:9">
      <c r="A189" s="237" t="s">
        <v>1476</v>
      </c>
      <c r="B189" s="238">
        <v>12138514</v>
      </c>
      <c r="C189" s="238">
        <v>76458</v>
      </c>
      <c r="D189" s="237">
        <v>70.5</v>
      </c>
      <c r="E189" s="237">
        <v>0.12</v>
      </c>
      <c r="F189" s="237">
        <f t="shared" si="25"/>
        <v>1456621.68</v>
      </c>
      <c r="G189" s="237">
        <f t="shared" si="26"/>
        <v>5390289</v>
      </c>
      <c r="H189" s="237">
        <f t="shared" si="27"/>
        <v>6846910.6799999997</v>
      </c>
      <c r="I189"/>
    </row>
    <row r="190" spans="1:9">
      <c r="A190" s="237" t="s">
        <v>1477</v>
      </c>
      <c r="B190" s="238">
        <v>12477706</v>
      </c>
      <c r="C190" s="238">
        <v>78333</v>
      </c>
      <c r="D190" s="237">
        <v>70.5</v>
      </c>
      <c r="E190" s="237">
        <v>0.15</v>
      </c>
      <c r="F190" s="237">
        <f t="shared" si="25"/>
        <v>1871655.9</v>
      </c>
      <c r="G190" s="237">
        <f t="shared" si="26"/>
        <v>5522476.5</v>
      </c>
      <c r="H190" s="237">
        <f t="shared" si="27"/>
        <v>7394132.4000000004</v>
      </c>
      <c r="I190"/>
    </row>
    <row r="191" spans="1:9">
      <c r="A191" s="237" t="s">
        <v>1478</v>
      </c>
      <c r="B191" s="238">
        <v>10562984</v>
      </c>
      <c r="C191" s="238">
        <v>70061</v>
      </c>
      <c r="D191" s="237">
        <v>70.5</v>
      </c>
      <c r="E191" s="237">
        <v>0.15</v>
      </c>
      <c r="F191" s="237">
        <f t="shared" si="25"/>
        <v>1584447.5999999999</v>
      </c>
      <c r="G191" s="237">
        <f t="shared" si="26"/>
        <v>4939300.5</v>
      </c>
      <c r="H191" s="237">
        <f t="shared" si="27"/>
        <v>6523748.0999999996</v>
      </c>
      <c r="I191"/>
    </row>
    <row r="192" spans="1:9">
      <c r="A192" s="237" t="s">
        <v>1479</v>
      </c>
      <c r="B192" s="238">
        <v>6731724</v>
      </c>
      <c r="C192" s="238">
        <v>62287</v>
      </c>
      <c r="D192" s="237">
        <v>70.5</v>
      </c>
      <c r="E192" s="237">
        <v>0.15</v>
      </c>
      <c r="F192" s="237">
        <f t="shared" si="25"/>
        <v>1009758.6</v>
      </c>
      <c r="G192" s="237">
        <f t="shared" si="26"/>
        <v>4391233.5</v>
      </c>
      <c r="H192" s="237">
        <f t="shared" si="27"/>
        <v>5400992.0999999996</v>
      </c>
      <c r="I192"/>
    </row>
    <row r="193" spans="1:9">
      <c r="A193" s="237" t="s">
        <v>1480</v>
      </c>
      <c r="B193" s="238">
        <v>14846437</v>
      </c>
      <c r="C193" s="238">
        <v>72096</v>
      </c>
      <c r="D193" s="237">
        <v>70.5</v>
      </c>
      <c r="E193" s="237">
        <v>0.15</v>
      </c>
      <c r="F193" s="237">
        <f t="shared" si="25"/>
        <v>2226965.5499999998</v>
      </c>
      <c r="G193" s="237">
        <f t="shared" si="26"/>
        <v>5082768</v>
      </c>
      <c r="H193" s="237">
        <f t="shared" si="27"/>
        <v>7309733.5499999998</v>
      </c>
      <c r="I193"/>
    </row>
    <row r="194" spans="1:9">
      <c r="A194" s="237" t="s">
        <v>1481</v>
      </c>
      <c r="B194" s="238">
        <v>14137841</v>
      </c>
      <c r="C194" s="238">
        <v>74878</v>
      </c>
      <c r="D194" s="237">
        <v>70.5</v>
      </c>
      <c r="E194" s="237">
        <v>0.15</v>
      </c>
      <c r="F194" s="237">
        <f t="shared" si="25"/>
        <v>2120676.15</v>
      </c>
      <c r="G194" s="237">
        <f t="shared" si="26"/>
        <v>5278899</v>
      </c>
      <c r="H194" s="237">
        <f t="shared" si="27"/>
        <v>7399575.1500000004</v>
      </c>
      <c r="I194"/>
    </row>
    <row r="195" spans="1:9">
      <c r="A195" s="237" t="s">
        <v>4522</v>
      </c>
      <c r="B195" s="238">
        <v>15307989</v>
      </c>
      <c r="C195" s="238">
        <v>72537</v>
      </c>
      <c r="D195" s="237">
        <v>70.5</v>
      </c>
      <c r="E195" s="237">
        <v>0.15</v>
      </c>
      <c r="F195" s="237">
        <f t="shared" si="25"/>
        <v>2296198.35</v>
      </c>
      <c r="G195" s="237">
        <f t="shared" si="26"/>
        <v>5113858.5</v>
      </c>
      <c r="H195" s="237">
        <f t="shared" si="27"/>
        <v>7410056.8499999996</v>
      </c>
      <c r="I195"/>
    </row>
    <row r="196" spans="1:9">
      <c r="A196" s="237" t="s">
        <v>689</v>
      </c>
      <c r="B196" s="241">
        <f>SUM(B184:B195)</f>
        <v>148978170</v>
      </c>
      <c r="C196" s="239"/>
      <c r="D196" s="237"/>
      <c r="E196" s="237"/>
      <c r="F196" s="240">
        <f>SUM(F184:F195)</f>
        <v>20099320.829999998</v>
      </c>
      <c r="G196" s="240">
        <f>SUM(G184:G195)</f>
        <v>58416018</v>
      </c>
      <c r="H196" s="240">
        <f t="shared" si="27"/>
        <v>78515338.829999998</v>
      </c>
      <c r="I196"/>
    </row>
    <row r="197" spans="1:9" ht="18.75">
      <c r="A197" s="1629" t="s">
        <v>1489</v>
      </c>
      <c r="B197" s="1629"/>
      <c r="C197" s="1629"/>
      <c r="D197" s="1629"/>
      <c r="E197" s="1629"/>
      <c r="F197" s="1629"/>
      <c r="G197" s="1629"/>
      <c r="H197" s="1629"/>
      <c r="I197"/>
    </row>
    <row r="198" spans="1:9">
      <c r="A198" s="1625" t="s">
        <v>1490</v>
      </c>
      <c r="B198" s="1626"/>
      <c r="C198" s="1626"/>
      <c r="D198" s="1626"/>
      <c r="E198" s="1626"/>
      <c r="F198" s="1626"/>
      <c r="G198" s="1626"/>
      <c r="H198" s="1627"/>
      <c r="I198"/>
    </row>
    <row r="199" spans="1:9" ht="78.75">
      <c r="A199" s="235" t="s">
        <v>681</v>
      </c>
      <c r="B199" s="235" t="s">
        <v>1491</v>
      </c>
      <c r="C199" s="235" t="s">
        <v>5057</v>
      </c>
      <c r="D199" s="235" t="s">
        <v>1486</v>
      </c>
      <c r="E199" s="235" t="s">
        <v>1487</v>
      </c>
      <c r="F199" s="235" t="s">
        <v>686</v>
      </c>
      <c r="G199" s="235" t="s">
        <v>687</v>
      </c>
      <c r="H199" s="236" t="s">
        <v>688</v>
      </c>
      <c r="I199"/>
    </row>
    <row r="200" spans="1:9">
      <c r="A200" s="237" t="s">
        <v>1471</v>
      </c>
      <c r="B200" s="238">
        <v>12950110</v>
      </c>
      <c r="C200" s="238">
        <v>72255</v>
      </c>
      <c r="D200" s="243">
        <v>71.461290000000005</v>
      </c>
      <c r="E200" s="243">
        <v>0.14424000000000001</v>
      </c>
      <c r="F200" s="237">
        <f>E200*B200/1000</f>
        <v>1867.9238664000002</v>
      </c>
      <c r="G200" s="237">
        <f>D200*C200</f>
        <v>5163435.5089500006</v>
      </c>
      <c r="H200" s="237">
        <f>F200+G200</f>
        <v>5165303.4328164002</v>
      </c>
      <c r="I200"/>
    </row>
    <row r="201" spans="1:9">
      <c r="A201" s="237" t="s">
        <v>1472</v>
      </c>
      <c r="B201" s="238">
        <v>15223939.999999998</v>
      </c>
      <c r="C201" s="238">
        <v>78992</v>
      </c>
      <c r="D201" s="243">
        <v>71.461290000000005</v>
      </c>
      <c r="E201" s="243">
        <v>0.14424000000000001</v>
      </c>
      <c r="F201" s="237">
        <f t="shared" ref="F201:F211" si="28">E201*B201/1000</f>
        <v>2195.9011055999999</v>
      </c>
      <c r="G201" s="237">
        <f t="shared" ref="G201:G211" si="29">D201*C201</f>
        <v>5644870.2196800001</v>
      </c>
      <c r="H201" s="237">
        <f t="shared" ref="H201:H211" si="30">F201+G201</f>
        <v>5647066.1207856005</v>
      </c>
      <c r="I201"/>
    </row>
    <row r="202" spans="1:9">
      <c r="A202" s="237" t="s">
        <v>1473</v>
      </c>
      <c r="B202" s="238">
        <v>14739130.000000002</v>
      </c>
      <c r="C202" s="238">
        <v>71233</v>
      </c>
      <c r="D202" s="243">
        <v>71.461290000000005</v>
      </c>
      <c r="E202" s="243">
        <v>0.14424000000000001</v>
      </c>
      <c r="F202" s="237">
        <f t="shared" si="28"/>
        <v>2125.9721112000002</v>
      </c>
      <c r="G202" s="237">
        <f t="shared" si="29"/>
        <v>5090402.0705700004</v>
      </c>
      <c r="H202" s="237">
        <f t="shared" si="30"/>
        <v>5092528.0426812004</v>
      </c>
      <c r="I202"/>
    </row>
    <row r="203" spans="1:9">
      <c r="A203" s="237" t="s">
        <v>1474</v>
      </c>
      <c r="B203" s="238">
        <v>14930820</v>
      </c>
      <c r="C203" s="238">
        <v>71078</v>
      </c>
      <c r="D203" s="243">
        <v>71.461290000000005</v>
      </c>
      <c r="E203" s="243">
        <v>0.14424000000000001</v>
      </c>
      <c r="F203" s="237">
        <f t="shared" si="28"/>
        <v>2153.6214768000004</v>
      </c>
      <c r="G203" s="237">
        <f t="shared" si="29"/>
        <v>5079325.5706200004</v>
      </c>
      <c r="H203" s="237">
        <f t="shared" si="30"/>
        <v>5081479.1920968005</v>
      </c>
      <c r="I203"/>
    </row>
    <row r="204" spans="1:9">
      <c r="A204" s="237" t="s">
        <v>1475</v>
      </c>
      <c r="B204" s="238">
        <v>13552510</v>
      </c>
      <c r="C204" s="238">
        <v>69346</v>
      </c>
      <c r="D204" s="243">
        <v>71.461290000000005</v>
      </c>
      <c r="E204" s="243">
        <v>0.14424000000000001</v>
      </c>
      <c r="F204" s="237">
        <f t="shared" si="28"/>
        <v>1954.8140424000001</v>
      </c>
      <c r="G204" s="237">
        <f t="shared" si="29"/>
        <v>4955554.6163400002</v>
      </c>
      <c r="H204" s="237">
        <f t="shared" si="30"/>
        <v>4957509.4303823998</v>
      </c>
      <c r="I204"/>
    </row>
    <row r="205" spans="1:9">
      <c r="A205" s="237" t="s">
        <v>1476</v>
      </c>
      <c r="B205" s="238">
        <v>12760900</v>
      </c>
      <c r="C205" s="238">
        <v>69793</v>
      </c>
      <c r="D205" s="243">
        <v>71.461290000000005</v>
      </c>
      <c r="E205" s="243">
        <v>0.14424000000000001</v>
      </c>
      <c r="F205" s="237">
        <f t="shared" si="28"/>
        <v>1840.632216</v>
      </c>
      <c r="G205" s="237">
        <f t="shared" si="29"/>
        <v>4987497.8129700003</v>
      </c>
      <c r="H205" s="237">
        <f t="shared" si="30"/>
        <v>4989338.4451860003</v>
      </c>
      <c r="I205"/>
    </row>
    <row r="206" spans="1:9">
      <c r="A206" s="237" t="s">
        <v>1477</v>
      </c>
      <c r="B206" s="238">
        <v>14083890</v>
      </c>
      <c r="C206" s="238">
        <v>81222</v>
      </c>
      <c r="D206" s="243">
        <v>58.136569999999999</v>
      </c>
      <c r="E206" s="243">
        <v>0.14424000000000001</v>
      </c>
      <c r="F206" s="237">
        <f t="shared" si="28"/>
        <v>2031.4602936000001</v>
      </c>
      <c r="G206" s="237">
        <f t="shared" si="29"/>
        <v>4721968.4885400003</v>
      </c>
      <c r="H206" s="237">
        <f t="shared" si="30"/>
        <v>4723999.9488336006</v>
      </c>
      <c r="I206"/>
    </row>
    <row r="207" spans="1:9">
      <c r="A207" s="237" t="s">
        <v>1478</v>
      </c>
      <c r="B207" s="238">
        <v>6312720</v>
      </c>
      <c r="C207" s="238">
        <v>68934</v>
      </c>
      <c r="D207" s="243">
        <v>58.136569999999999</v>
      </c>
      <c r="E207" s="243">
        <v>0.14424000000000001</v>
      </c>
      <c r="F207" s="237">
        <f t="shared" si="28"/>
        <v>910.54673279999997</v>
      </c>
      <c r="G207" s="237">
        <f t="shared" si="29"/>
        <v>4007586.3163799997</v>
      </c>
      <c r="H207" s="237">
        <f t="shared" si="30"/>
        <v>4008496.8631127998</v>
      </c>
      <c r="I207"/>
    </row>
    <row r="208" spans="1:9">
      <c r="A208" s="237" t="s">
        <v>1479</v>
      </c>
      <c r="B208" s="238">
        <v>11071800.000000002</v>
      </c>
      <c r="C208" s="238">
        <v>58429</v>
      </c>
      <c r="D208" s="243">
        <v>58.136569999999999</v>
      </c>
      <c r="E208" s="243">
        <v>0.14424000000000001</v>
      </c>
      <c r="F208" s="237">
        <f t="shared" si="28"/>
        <v>1596.9964320000004</v>
      </c>
      <c r="G208" s="237">
        <f t="shared" si="29"/>
        <v>3396861.6485299999</v>
      </c>
      <c r="H208" s="237">
        <f t="shared" si="30"/>
        <v>3398458.6449619997</v>
      </c>
      <c r="I208"/>
    </row>
    <row r="209" spans="1:9">
      <c r="A209" s="237" t="s">
        <v>1480</v>
      </c>
      <c r="B209" s="238">
        <v>12599880</v>
      </c>
      <c r="C209" s="238">
        <v>72202</v>
      </c>
      <c r="D209" s="243">
        <v>58.136569999999999</v>
      </c>
      <c r="E209" s="243">
        <v>0.14424000000000001</v>
      </c>
      <c r="F209" s="237">
        <f t="shared" si="28"/>
        <v>1817.4066912000001</v>
      </c>
      <c r="G209" s="237">
        <f t="shared" si="29"/>
        <v>4197576.6271399995</v>
      </c>
      <c r="H209" s="237">
        <f t="shared" si="30"/>
        <v>4199394.0338311996</v>
      </c>
      <c r="I209"/>
    </row>
    <row r="210" spans="1:9">
      <c r="A210" s="237" t="s">
        <v>1481</v>
      </c>
      <c r="B210" s="238">
        <v>10832660</v>
      </c>
      <c r="C210" s="238">
        <v>72341</v>
      </c>
      <c r="D210" s="243">
        <v>58.136569999999999</v>
      </c>
      <c r="E210" s="243">
        <v>0.14424000000000001</v>
      </c>
      <c r="F210" s="237">
        <f t="shared" si="28"/>
        <v>1562.5028784000001</v>
      </c>
      <c r="G210" s="237">
        <f t="shared" si="29"/>
        <v>4205657.6103699999</v>
      </c>
      <c r="H210" s="237">
        <f t="shared" si="30"/>
        <v>4207220.1132483995</v>
      </c>
      <c r="I210"/>
    </row>
    <row r="211" spans="1:9">
      <c r="A211" s="237" t="s">
        <v>4522</v>
      </c>
      <c r="B211" s="238">
        <v>12121520</v>
      </c>
      <c r="C211" s="238">
        <v>70450</v>
      </c>
      <c r="D211" s="243">
        <v>58.136569999999999</v>
      </c>
      <c r="E211" s="243">
        <v>0.14424000000000001</v>
      </c>
      <c r="F211" s="237">
        <f t="shared" si="28"/>
        <v>1748.4080448</v>
      </c>
      <c r="G211" s="237">
        <f t="shared" si="29"/>
        <v>4095721.3564999998</v>
      </c>
      <c r="H211" s="237">
        <f t="shared" si="30"/>
        <v>4097469.7645447999</v>
      </c>
      <c r="I211"/>
    </row>
    <row r="212" spans="1:9">
      <c r="A212" s="237" t="s">
        <v>689</v>
      </c>
      <c r="B212" s="241">
        <f>SUM(B200:B211)</f>
        <v>151179880</v>
      </c>
      <c r="C212" s="237"/>
      <c r="D212" s="237"/>
      <c r="E212" s="237"/>
      <c r="F212" s="240">
        <f>SUM(F200:F211)</f>
        <v>21806.185891200003</v>
      </c>
      <c r="G212" s="240">
        <f>SUM(G200:G211)</f>
        <v>55546457.846590005</v>
      </c>
      <c r="H212" s="240">
        <f>F212+G212</f>
        <v>55568264.032481208</v>
      </c>
      <c r="I212"/>
    </row>
    <row r="213" spans="1:9">
      <c r="A213" s="233"/>
      <c r="I213"/>
    </row>
    <row r="214" spans="1:9">
      <c r="A214" s="1625" t="s">
        <v>2885</v>
      </c>
      <c r="B214" s="1626"/>
      <c r="C214" s="1626"/>
      <c r="D214" s="1626"/>
      <c r="E214" s="1626"/>
      <c r="F214" s="1626"/>
      <c r="G214" s="1626"/>
      <c r="H214" s="1627"/>
      <c r="I214"/>
    </row>
    <row r="215" spans="1:9" ht="78.75">
      <c r="A215" s="235" t="s">
        <v>681</v>
      </c>
      <c r="B215" s="235" t="s">
        <v>1491</v>
      </c>
      <c r="C215" s="235" t="s">
        <v>5057</v>
      </c>
      <c r="D215" s="235" t="s">
        <v>1486</v>
      </c>
      <c r="E215" s="235" t="s">
        <v>1487</v>
      </c>
      <c r="F215" s="235" t="s">
        <v>686</v>
      </c>
      <c r="G215" s="235" t="s">
        <v>687</v>
      </c>
      <c r="H215" s="236" t="s">
        <v>688</v>
      </c>
      <c r="I215"/>
    </row>
    <row r="216" spans="1:9">
      <c r="A216" s="237" t="s">
        <v>1471</v>
      </c>
      <c r="B216" s="238">
        <v>13418643</v>
      </c>
      <c r="C216" s="238">
        <v>72255</v>
      </c>
      <c r="D216" s="243">
        <v>71.461290000000005</v>
      </c>
      <c r="E216" s="243">
        <v>0.14424000000000001</v>
      </c>
      <c r="F216" s="237">
        <f>E216*B216</f>
        <v>1935505.06632</v>
      </c>
      <c r="G216" s="237">
        <f>D216*C216</f>
        <v>5163435.5089500006</v>
      </c>
      <c r="H216" s="237">
        <f>F216+G216</f>
        <v>7098940.5752700008</v>
      </c>
      <c r="I216"/>
    </row>
    <row r="217" spans="1:9">
      <c r="A217" s="237" t="s">
        <v>1472</v>
      </c>
      <c r="B217" s="238">
        <v>14959205</v>
      </c>
      <c r="C217" s="238">
        <v>78992</v>
      </c>
      <c r="D217" s="243">
        <v>71.461290000000005</v>
      </c>
      <c r="E217" s="243">
        <v>0.14424000000000001</v>
      </c>
      <c r="F217" s="237">
        <f t="shared" ref="F217:F227" si="31">E217*B217</f>
        <v>2157715.7291999999</v>
      </c>
      <c r="G217" s="237">
        <f t="shared" ref="G217:G227" si="32">D217*C217</f>
        <v>5644870.2196800001</v>
      </c>
      <c r="H217" s="237">
        <f t="shared" ref="H217:H228" si="33">F217+G217</f>
        <v>7802585.94888</v>
      </c>
      <c r="I217"/>
    </row>
    <row r="218" spans="1:9">
      <c r="A218" s="237" t="s">
        <v>1473</v>
      </c>
      <c r="B218" s="238">
        <v>16211553</v>
      </c>
      <c r="C218" s="238">
        <v>71233</v>
      </c>
      <c r="D218" s="243">
        <v>71.461290000000005</v>
      </c>
      <c r="E218" s="243">
        <v>0.14424000000000001</v>
      </c>
      <c r="F218" s="237">
        <f t="shared" si="31"/>
        <v>2338354.40472</v>
      </c>
      <c r="G218" s="237">
        <f t="shared" si="32"/>
        <v>5090402.0705700004</v>
      </c>
      <c r="H218" s="237">
        <f t="shared" si="33"/>
        <v>7428756.4752900004</v>
      </c>
      <c r="I218"/>
    </row>
    <row r="219" spans="1:9">
      <c r="A219" s="237" t="s">
        <v>1474</v>
      </c>
      <c r="B219" s="238">
        <v>15465602</v>
      </c>
      <c r="C219" s="238">
        <v>71078</v>
      </c>
      <c r="D219" s="243">
        <v>71.461290000000005</v>
      </c>
      <c r="E219" s="243">
        <v>0.14424000000000001</v>
      </c>
      <c r="F219" s="237">
        <f t="shared" si="31"/>
        <v>2230758.43248</v>
      </c>
      <c r="G219" s="237">
        <f t="shared" si="32"/>
        <v>5079325.5706200004</v>
      </c>
      <c r="H219" s="237">
        <f t="shared" si="33"/>
        <v>7310084.0031000003</v>
      </c>
      <c r="I219"/>
    </row>
    <row r="220" spans="1:9">
      <c r="A220" s="237" t="s">
        <v>1475</v>
      </c>
      <c r="B220" s="238">
        <v>15098061</v>
      </c>
      <c r="C220" s="238">
        <v>69346</v>
      </c>
      <c r="D220" s="243">
        <v>71.461290000000005</v>
      </c>
      <c r="E220" s="243">
        <v>0.14424000000000001</v>
      </c>
      <c r="F220" s="237">
        <f t="shared" si="31"/>
        <v>2177744.3186400002</v>
      </c>
      <c r="G220" s="237">
        <f t="shared" si="32"/>
        <v>4955554.6163400002</v>
      </c>
      <c r="H220" s="237">
        <f t="shared" si="33"/>
        <v>7133298.9349800004</v>
      </c>
      <c r="I220"/>
    </row>
    <row r="221" spans="1:9">
      <c r="A221" s="237" t="s">
        <v>1476</v>
      </c>
      <c r="B221" s="238">
        <v>16589740</v>
      </c>
      <c r="C221" s="238">
        <v>69793</v>
      </c>
      <c r="D221" s="243">
        <v>71.461290000000005</v>
      </c>
      <c r="E221" s="243">
        <v>0.14424000000000001</v>
      </c>
      <c r="F221" s="237">
        <f t="shared" si="31"/>
        <v>2392904.0976</v>
      </c>
      <c r="G221" s="237">
        <f t="shared" si="32"/>
        <v>4987497.8129700003</v>
      </c>
      <c r="H221" s="237">
        <f t="shared" si="33"/>
        <v>7380401.9105700003</v>
      </c>
      <c r="I221"/>
    </row>
    <row r="222" spans="1:9">
      <c r="A222" s="237" t="s">
        <v>1477</v>
      </c>
      <c r="B222" s="238">
        <v>17230414</v>
      </c>
      <c r="C222" s="238">
        <v>81222</v>
      </c>
      <c r="D222" s="243">
        <v>58.136569999999999</v>
      </c>
      <c r="E222" s="243">
        <v>0.14424000000000001</v>
      </c>
      <c r="F222" s="237">
        <f t="shared" si="31"/>
        <v>2485314.91536</v>
      </c>
      <c r="G222" s="237">
        <f t="shared" si="32"/>
        <v>4721968.4885400003</v>
      </c>
      <c r="H222" s="237">
        <f t="shared" si="33"/>
        <v>7207283.4039000003</v>
      </c>
      <c r="I222"/>
    </row>
    <row r="223" spans="1:9">
      <c r="A223" s="237" t="s">
        <v>1478</v>
      </c>
      <c r="B223" s="238">
        <v>15388530</v>
      </c>
      <c r="C223" s="238">
        <v>68934</v>
      </c>
      <c r="D223" s="243">
        <v>58.136569999999999</v>
      </c>
      <c r="E223" s="243">
        <v>0.14424000000000001</v>
      </c>
      <c r="F223" s="237">
        <f t="shared" si="31"/>
        <v>2219641.5671999999</v>
      </c>
      <c r="G223" s="237">
        <f t="shared" si="32"/>
        <v>4007586.3163799997</v>
      </c>
      <c r="H223" s="237">
        <f t="shared" si="33"/>
        <v>6227227.8835799992</v>
      </c>
      <c r="I223"/>
    </row>
    <row r="224" spans="1:9">
      <c r="A224" s="237" t="s">
        <v>1479</v>
      </c>
      <c r="B224" s="238">
        <v>6926482</v>
      </c>
      <c r="C224" s="238">
        <v>58429</v>
      </c>
      <c r="D224" s="243">
        <v>58.136569999999999</v>
      </c>
      <c r="E224" s="243">
        <v>0.14424000000000001</v>
      </c>
      <c r="F224" s="237">
        <f>E224*B224</f>
        <v>999075.76368000009</v>
      </c>
      <c r="G224" s="237">
        <f t="shared" si="32"/>
        <v>3396861.6485299999</v>
      </c>
      <c r="H224" s="237">
        <f t="shared" si="33"/>
        <v>4395937.4122099997</v>
      </c>
      <c r="I224"/>
    </row>
    <row r="225" spans="1:9">
      <c r="A225" s="237" t="s">
        <v>1480</v>
      </c>
      <c r="B225" s="238">
        <v>16377651</v>
      </c>
      <c r="C225" s="238">
        <v>72202</v>
      </c>
      <c r="D225" s="243">
        <v>58.136569999999999</v>
      </c>
      <c r="E225" s="243">
        <v>0.14424000000000001</v>
      </c>
      <c r="F225" s="237">
        <f t="shared" si="31"/>
        <v>2362312.3802400003</v>
      </c>
      <c r="G225" s="237">
        <f t="shared" si="32"/>
        <v>4197576.6271399995</v>
      </c>
      <c r="H225" s="237">
        <f t="shared" si="33"/>
        <v>6559889.0073799994</v>
      </c>
      <c r="I225"/>
    </row>
    <row r="226" spans="1:9">
      <c r="A226" s="237" t="s">
        <v>1481</v>
      </c>
      <c r="B226" s="238">
        <v>17150374</v>
      </c>
      <c r="C226" s="238">
        <v>72341</v>
      </c>
      <c r="D226" s="243">
        <v>58.136569999999999</v>
      </c>
      <c r="E226" s="243">
        <v>0.14424000000000001</v>
      </c>
      <c r="F226" s="237">
        <f t="shared" si="31"/>
        <v>2473769.94576</v>
      </c>
      <c r="G226" s="237">
        <f t="shared" si="32"/>
        <v>4205657.6103699999</v>
      </c>
      <c r="H226" s="237">
        <f t="shared" si="33"/>
        <v>6679427.5561299995</v>
      </c>
      <c r="I226"/>
    </row>
    <row r="227" spans="1:9">
      <c r="A227" s="237" t="s">
        <v>4522</v>
      </c>
      <c r="B227" s="238">
        <v>17507586</v>
      </c>
      <c r="C227" s="238">
        <v>70450</v>
      </c>
      <c r="D227" s="243">
        <v>58.136569999999999</v>
      </c>
      <c r="E227" s="243">
        <v>0.14424000000000001</v>
      </c>
      <c r="F227" s="237">
        <f t="shared" si="31"/>
        <v>2525294.2046400001</v>
      </c>
      <c r="G227" s="237">
        <f t="shared" si="32"/>
        <v>4095721.3564999998</v>
      </c>
      <c r="H227" s="237">
        <f t="shared" si="33"/>
        <v>6621015.5611399999</v>
      </c>
      <c r="I227"/>
    </row>
    <row r="228" spans="1:9">
      <c r="A228" s="237" t="s">
        <v>689</v>
      </c>
      <c r="B228" s="241">
        <f>SUM(B216:B227)</f>
        <v>182323841</v>
      </c>
      <c r="C228" s="239"/>
      <c r="D228" s="237"/>
      <c r="E228" s="237"/>
      <c r="F228" s="240">
        <f>SUM(F216:F227)</f>
        <v>26298390.825840004</v>
      </c>
      <c r="G228" s="240">
        <f>SUM(G216:G227)</f>
        <v>55546457.846590005</v>
      </c>
      <c r="H228" s="240">
        <f t="shared" si="33"/>
        <v>81844848.672430009</v>
      </c>
      <c r="I228"/>
    </row>
    <row r="229" spans="1:9">
      <c r="A229" s="1625" t="s">
        <v>2886</v>
      </c>
      <c r="B229" s="1626"/>
      <c r="C229" s="1626"/>
      <c r="D229" s="1626"/>
      <c r="E229" s="1626"/>
      <c r="F229" s="1626"/>
      <c r="G229" s="1626"/>
      <c r="H229" s="1627"/>
    </row>
    <row r="230" spans="1:9" ht="78.75">
      <c r="A230" s="235" t="s">
        <v>681</v>
      </c>
      <c r="B230" s="235" t="s">
        <v>2887</v>
      </c>
      <c r="C230" s="235" t="s">
        <v>5058</v>
      </c>
      <c r="D230" s="235" t="s">
        <v>1486</v>
      </c>
      <c r="E230" s="235" t="s">
        <v>1487</v>
      </c>
      <c r="F230" s="235" t="s">
        <v>686</v>
      </c>
      <c r="G230" s="235" t="s">
        <v>687</v>
      </c>
      <c r="H230" s="236" t="s">
        <v>688</v>
      </c>
    </row>
    <row r="231" spans="1:9">
      <c r="A231" s="237" t="s">
        <v>1471</v>
      </c>
      <c r="B231" s="238">
        <v>13042133.999999998</v>
      </c>
      <c r="C231" s="238">
        <v>72926</v>
      </c>
      <c r="D231" s="243">
        <v>73.193529999999996</v>
      </c>
      <c r="E231" s="243">
        <v>0.13705000000000001</v>
      </c>
      <c r="F231" s="237">
        <f>E231*B231/1000</f>
        <v>1787.4244646999998</v>
      </c>
      <c r="G231" s="237">
        <f>D231*C231</f>
        <v>5337711.3687800001</v>
      </c>
      <c r="H231" s="237">
        <f>F231+G231</f>
        <v>5339498.7932446999</v>
      </c>
    </row>
    <row r="232" spans="1:9">
      <c r="A232" s="237" t="s">
        <v>1472</v>
      </c>
      <c r="B232" s="238">
        <v>15351317.000000002</v>
      </c>
      <c r="C232" s="238">
        <v>73355</v>
      </c>
      <c r="D232" s="243">
        <v>73.193529999999996</v>
      </c>
      <c r="E232" s="243">
        <v>0.13705000000000001</v>
      </c>
      <c r="F232" s="237">
        <f t="shared" ref="F232:F242" si="34">E232*B232/1000</f>
        <v>2103.8979948500005</v>
      </c>
      <c r="G232" s="237">
        <f t="shared" ref="G232:G242" si="35">D232*C232</f>
        <v>5369111.3931499999</v>
      </c>
      <c r="H232" s="237">
        <f t="shared" ref="H232:H242" si="36">F232+G232</f>
        <v>5371215.2911448497</v>
      </c>
    </row>
    <row r="233" spans="1:9">
      <c r="A233" s="237" t="s">
        <v>1473</v>
      </c>
      <c r="B233" s="238">
        <v>16317312.999999998</v>
      </c>
      <c r="C233" s="238">
        <v>74220</v>
      </c>
      <c r="D233" s="243">
        <v>73.193529999999996</v>
      </c>
      <c r="E233" s="243">
        <v>0.13705000000000001</v>
      </c>
      <c r="F233" s="237">
        <f t="shared" si="34"/>
        <v>2236.2877466499995</v>
      </c>
      <c r="G233" s="237">
        <f t="shared" si="35"/>
        <v>5432423.7966</v>
      </c>
      <c r="H233" s="237">
        <f t="shared" si="36"/>
        <v>5434660.0843466502</v>
      </c>
    </row>
    <row r="234" spans="1:9">
      <c r="A234" s="237" t="s">
        <v>1474</v>
      </c>
      <c r="B234" s="238">
        <v>15130394</v>
      </c>
      <c r="C234" s="238">
        <v>55026</v>
      </c>
      <c r="D234" s="243">
        <v>73.193529999999996</v>
      </c>
      <c r="E234" s="243">
        <v>0.13705000000000001</v>
      </c>
      <c r="F234" s="237">
        <f t="shared" si="34"/>
        <v>2073.6204977000002</v>
      </c>
      <c r="G234" s="237">
        <f t="shared" si="35"/>
        <v>4027547.1817799998</v>
      </c>
      <c r="H234" s="237">
        <f t="shared" si="36"/>
        <v>4029620.8022776996</v>
      </c>
    </row>
    <row r="235" spans="1:9">
      <c r="A235" s="237" t="s">
        <v>1475</v>
      </c>
      <c r="B235" s="238">
        <v>16002041.000000002</v>
      </c>
      <c r="C235" s="238">
        <v>59868</v>
      </c>
      <c r="D235" s="243">
        <v>73.193529999999996</v>
      </c>
      <c r="E235" s="243">
        <v>0.13705000000000001</v>
      </c>
      <c r="F235" s="237">
        <f t="shared" si="34"/>
        <v>2193.0797190500002</v>
      </c>
      <c r="G235" s="237">
        <f t="shared" si="35"/>
        <v>4381950.25404</v>
      </c>
      <c r="H235" s="237">
        <f t="shared" si="36"/>
        <v>4384143.3337590499</v>
      </c>
    </row>
    <row r="236" spans="1:9">
      <c r="A236" s="237" t="s">
        <v>1476</v>
      </c>
      <c r="B236" s="238">
        <v>16848722</v>
      </c>
      <c r="C236" s="238">
        <v>74030</v>
      </c>
      <c r="D236" s="243">
        <v>73.193529999999996</v>
      </c>
      <c r="E236" s="243">
        <v>0.13705000000000001</v>
      </c>
      <c r="F236" s="237">
        <f t="shared" si="34"/>
        <v>2309.1173500999998</v>
      </c>
      <c r="G236" s="237">
        <f t="shared" si="35"/>
        <v>5418517.0258999998</v>
      </c>
      <c r="H236" s="237">
        <f t="shared" si="36"/>
        <v>5420826.1432500994</v>
      </c>
    </row>
    <row r="237" spans="1:9">
      <c r="A237" s="237" t="s">
        <v>1477</v>
      </c>
      <c r="B237" s="238">
        <v>17072854</v>
      </c>
      <c r="C237" s="238">
        <v>87292</v>
      </c>
      <c r="D237" s="243">
        <v>62.174309999999998</v>
      </c>
      <c r="E237" s="243">
        <v>0.13705000000000001</v>
      </c>
      <c r="F237" s="237">
        <f t="shared" si="34"/>
        <v>2339.8346406999999</v>
      </c>
      <c r="G237" s="237">
        <f t="shared" si="35"/>
        <v>5427319.86852</v>
      </c>
      <c r="H237" s="237">
        <f t="shared" si="36"/>
        <v>5429659.7031607004</v>
      </c>
    </row>
    <row r="238" spans="1:9">
      <c r="A238" s="237" t="s">
        <v>1478</v>
      </c>
      <c r="B238" s="238">
        <v>15658563</v>
      </c>
      <c r="C238" s="238">
        <v>84023</v>
      </c>
      <c r="D238" s="243">
        <v>62.174309999999998</v>
      </c>
      <c r="E238" s="243">
        <v>0.13705000000000001</v>
      </c>
      <c r="F238" s="237">
        <f t="shared" si="34"/>
        <v>2146.0060591500001</v>
      </c>
      <c r="G238" s="237">
        <f t="shared" si="35"/>
        <v>5224072.0491300002</v>
      </c>
      <c r="H238" s="237">
        <f t="shared" si="36"/>
        <v>5226218.0551891504</v>
      </c>
    </row>
    <row r="239" spans="1:9">
      <c r="A239" s="237" t="s">
        <v>1479</v>
      </c>
      <c r="B239" s="238">
        <v>6845845.0000000009</v>
      </c>
      <c r="C239" s="238">
        <v>50402</v>
      </c>
      <c r="D239" s="243">
        <v>62.174309999999998</v>
      </c>
      <c r="E239" s="243">
        <v>0.13705000000000001</v>
      </c>
      <c r="F239" s="237">
        <f t="shared" si="34"/>
        <v>938.22305725000024</v>
      </c>
      <c r="G239" s="237">
        <f t="shared" si="35"/>
        <v>3133709.5726199998</v>
      </c>
      <c r="H239" s="237">
        <f t="shared" si="36"/>
        <v>3134647.7956772498</v>
      </c>
    </row>
    <row r="240" spans="1:9">
      <c r="A240" s="237" t="s">
        <v>1480</v>
      </c>
      <c r="B240" s="238">
        <v>13535823</v>
      </c>
      <c r="C240" s="238">
        <v>62894</v>
      </c>
      <c r="D240" s="243">
        <v>62.174309999999998</v>
      </c>
      <c r="E240" s="243">
        <v>0.13705000000000001</v>
      </c>
      <c r="F240" s="237">
        <f t="shared" si="34"/>
        <v>1855.0845421500001</v>
      </c>
      <c r="G240" s="237">
        <f t="shared" si="35"/>
        <v>3910391.05314</v>
      </c>
      <c r="H240" s="237">
        <f t="shared" si="36"/>
        <v>3912246.1376821501</v>
      </c>
    </row>
    <row r="241" spans="1:8">
      <c r="A241" s="237" t="s">
        <v>1481</v>
      </c>
      <c r="B241" s="238">
        <v>12200710</v>
      </c>
      <c r="C241" s="238">
        <v>62873</v>
      </c>
      <c r="D241" s="243">
        <v>62.174309999999998</v>
      </c>
      <c r="E241" s="243">
        <v>0.13705000000000001</v>
      </c>
      <c r="F241" s="237">
        <f t="shared" si="34"/>
        <v>1672.1073054999999</v>
      </c>
      <c r="G241" s="237">
        <f t="shared" si="35"/>
        <v>3909085.3926299997</v>
      </c>
      <c r="H241" s="237">
        <f t="shared" si="36"/>
        <v>3910757.4999354999</v>
      </c>
    </row>
    <row r="242" spans="1:8">
      <c r="A242" s="237" t="s">
        <v>4522</v>
      </c>
      <c r="B242" s="238">
        <v>13639795</v>
      </c>
      <c r="C242" s="238">
        <v>63064</v>
      </c>
      <c r="D242" s="243">
        <v>62.174309999999998</v>
      </c>
      <c r="E242" s="243">
        <v>0.13705000000000001</v>
      </c>
      <c r="F242" s="237">
        <f t="shared" si="34"/>
        <v>1869.3339047499999</v>
      </c>
      <c r="G242" s="237">
        <f t="shared" si="35"/>
        <v>3920960.6858399999</v>
      </c>
      <c r="H242" s="237">
        <f t="shared" si="36"/>
        <v>3922830.0197447501</v>
      </c>
    </row>
    <row r="243" spans="1:8">
      <c r="A243" s="237" t="s">
        <v>689</v>
      </c>
      <c r="B243" s="241">
        <f>SUM(B231:B242)</f>
        <v>171645511</v>
      </c>
      <c r="C243" s="237"/>
      <c r="D243" s="237"/>
      <c r="E243" s="237"/>
      <c r="F243" s="240">
        <f>SUM(F231:F242)</f>
        <v>23524.017282550005</v>
      </c>
      <c r="G243" s="240">
        <f>SUM(G231:G242)</f>
        <v>55492799.642129995</v>
      </c>
      <c r="H243" s="240">
        <f>F243+G243</f>
        <v>55516323.659412548</v>
      </c>
    </row>
    <row r="244" spans="1:8">
      <c r="A244" s="233"/>
    </row>
    <row r="245" spans="1:8">
      <c r="A245" s="1625" t="s">
        <v>2888</v>
      </c>
      <c r="B245" s="1626"/>
      <c r="C245" s="1626"/>
      <c r="D245" s="1626"/>
      <c r="E245" s="1626"/>
      <c r="F245" s="1626"/>
      <c r="G245" s="1626"/>
      <c r="H245" s="1627"/>
    </row>
    <row r="246" spans="1:8" ht="78.75">
      <c r="A246" s="235" t="s">
        <v>681</v>
      </c>
      <c r="B246" s="235" t="s">
        <v>2887</v>
      </c>
      <c r="C246" s="235" t="s">
        <v>5058</v>
      </c>
      <c r="D246" s="235" t="s">
        <v>1486</v>
      </c>
      <c r="E246" s="235" t="s">
        <v>1487</v>
      </c>
      <c r="F246" s="235" t="s">
        <v>686</v>
      </c>
      <c r="G246" s="235" t="s">
        <v>687</v>
      </c>
      <c r="H246" s="236" t="s">
        <v>688</v>
      </c>
    </row>
    <row r="247" spans="1:8">
      <c r="A247" s="237" t="s">
        <v>1471</v>
      </c>
      <c r="B247" s="238">
        <v>15218258</v>
      </c>
      <c r="C247" s="238">
        <v>72926</v>
      </c>
      <c r="D247" s="243">
        <v>73.193529999999996</v>
      </c>
      <c r="E247" s="243">
        <v>0.13705000000000001</v>
      </c>
      <c r="F247" s="237">
        <f>E247*B247</f>
        <v>2085662.2589</v>
      </c>
      <c r="G247" s="237">
        <f>D247*C247</f>
        <v>5337711.3687800001</v>
      </c>
      <c r="H247" s="237">
        <f>F247+G247</f>
        <v>7423373.6276799999</v>
      </c>
    </row>
    <row r="248" spans="1:8">
      <c r="A248" s="237" t="s">
        <v>1472</v>
      </c>
      <c r="B248" s="238">
        <v>16004779</v>
      </c>
      <c r="C248" s="238">
        <v>73355</v>
      </c>
      <c r="D248" s="243">
        <v>73.193529999999996</v>
      </c>
      <c r="E248" s="243">
        <v>0.13705000000000001</v>
      </c>
      <c r="F248" s="237">
        <f t="shared" ref="F248:F258" si="37">E248*B248</f>
        <v>2193454.9619499999</v>
      </c>
      <c r="G248" s="237">
        <f t="shared" ref="G248:G258" si="38">D248*C248</f>
        <v>5369111.3931499999</v>
      </c>
      <c r="H248" s="237">
        <f t="shared" ref="H248:H259" si="39">F248+G248</f>
        <v>7562566.3551000003</v>
      </c>
    </row>
    <row r="249" spans="1:8">
      <c r="A249" s="237" t="s">
        <v>1473</v>
      </c>
      <c r="B249" s="238">
        <v>18212209</v>
      </c>
      <c r="C249" s="238">
        <v>74219</v>
      </c>
      <c r="D249" s="243">
        <v>73.193529999999996</v>
      </c>
      <c r="E249" s="243">
        <v>0.13705000000000001</v>
      </c>
      <c r="F249" s="237">
        <f t="shared" si="37"/>
        <v>2495983.24345</v>
      </c>
      <c r="G249" s="237">
        <f t="shared" si="38"/>
        <v>5432350.6030699993</v>
      </c>
      <c r="H249" s="237">
        <f t="shared" si="39"/>
        <v>7928333.8465199992</v>
      </c>
    </row>
    <row r="250" spans="1:8">
      <c r="A250" s="237" t="s">
        <v>1474</v>
      </c>
      <c r="B250" s="238">
        <v>16840647</v>
      </c>
      <c r="C250" s="238">
        <v>55026</v>
      </c>
      <c r="D250" s="243">
        <v>73.193529999999996</v>
      </c>
      <c r="E250" s="243">
        <v>0.13705000000000001</v>
      </c>
      <c r="F250" s="237">
        <f t="shared" si="37"/>
        <v>2308010.67135</v>
      </c>
      <c r="G250" s="237">
        <f t="shared" si="38"/>
        <v>4027547.1817799998</v>
      </c>
      <c r="H250" s="237">
        <f t="shared" si="39"/>
        <v>6335557.8531299997</v>
      </c>
    </row>
    <row r="251" spans="1:8">
      <c r="A251" s="237" t="s">
        <v>1475</v>
      </c>
      <c r="B251" s="238">
        <v>15756843</v>
      </c>
      <c r="C251" s="238">
        <v>59868</v>
      </c>
      <c r="D251" s="243">
        <v>73.193529999999996</v>
      </c>
      <c r="E251" s="243">
        <v>0.13705000000000001</v>
      </c>
      <c r="F251" s="237">
        <f t="shared" si="37"/>
        <v>2159475.3331500003</v>
      </c>
      <c r="G251" s="237">
        <f t="shared" si="38"/>
        <v>4381950.25404</v>
      </c>
      <c r="H251" s="237">
        <f t="shared" si="39"/>
        <v>6541425.5871900003</v>
      </c>
    </row>
    <row r="252" spans="1:8">
      <c r="A252" s="237" t="s">
        <v>1476</v>
      </c>
      <c r="B252" s="238">
        <v>15519994</v>
      </c>
      <c r="C252" s="238">
        <v>74030</v>
      </c>
      <c r="D252" s="243">
        <v>73.193529999999996</v>
      </c>
      <c r="E252" s="243">
        <v>0.13705000000000001</v>
      </c>
      <c r="F252" s="237">
        <f t="shared" si="37"/>
        <v>2127015.1776999999</v>
      </c>
      <c r="G252" s="237">
        <f t="shared" si="38"/>
        <v>5418517.0258999998</v>
      </c>
      <c r="H252" s="237">
        <f t="shared" si="39"/>
        <v>7545532.2035999997</v>
      </c>
    </row>
    <row r="253" spans="1:8">
      <c r="A253" s="237" t="s">
        <v>1477</v>
      </c>
      <c r="B253" s="238">
        <v>16447255</v>
      </c>
      <c r="C253" s="238">
        <v>87292</v>
      </c>
      <c r="D253" s="243">
        <v>62.174309999999998</v>
      </c>
      <c r="E253" s="243">
        <v>0.13705000000000001</v>
      </c>
      <c r="F253" s="237">
        <f t="shared" si="37"/>
        <v>2254096.2977499999</v>
      </c>
      <c r="G253" s="237">
        <f t="shared" si="38"/>
        <v>5427319.86852</v>
      </c>
      <c r="H253" s="237">
        <f t="shared" si="39"/>
        <v>7681416.1662699999</v>
      </c>
    </row>
    <row r="254" spans="1:8">
      <c r="A254" s="237" t="s">
        <v>1478</v>
      </c>
      <c r="B254" s="238">
        <v>14519003</v>
      </c>
      <c r="C254" s="238">
        <v>84024</v>
      </c>
      <c r="D254" s="243">
        <v>62.174309999999998</v>
      </c>
      <c r="E254" s="243">
        <v>0.13705000000000001</v>
      </c>
      <c r="F254" s="237">
        <f t="shared" si="37"/>
        <v>1989829.36115</v>
      </c>
      <c r="G254" s="237">
        <f t="shared" si="38"/>
        <v>5224134.2234399999</v>
      </c>
      <c r="H254" s="237">
        <f t="shared" si="39"/>
        <v>7213963.5845900001</v>
      </c>
    </row>
    <row r="255" spans="1:8">
      <c r="A255" s="237" t="s">
        <v>1479</v>
      </c>
      <c r="B255" s="238">
        <v>7537773</v>
      </c>
      <c r="C255" s="238">
        <v>50403</v>
      </c>
      <c r="D255" s="243">
        <v>62.174309999999998</v>
      </c>
      <c r="E255" s="243">
        <v>0.13705000000000001</v>
      </c>
      <c r="F255" s="237">
        <f t="shared" si="37"/>
        <v>1033051.78965</v>
      </c>
      <c r="G255" s="237">
        <f t="shared" si="38"/>
        <v>3133771.7469299999</v>
      </c>
      <c r="H255" s="237">
        <f t="shared" si="39"/>
        <v>4166823.5365800001</v>
      </c>
    </row>
    <row r="256" spans="1:8">
      <c r="A256" s="237" t="s">
        <v>1480</v>
      </c>
      <c r="B256" s="238">
        <v>16665669</v>
      </c>
      <c r="C256" s="238">
        <v>62894</v>
      </c>
      <c r="D256" s="243">
        <v>62.174309999999998</v>
      </c>
      <c r="E256" s="243">
        <v>0.13705000000000001</v>
      </c>
      <c r="F256" s="237">
        <f t="shared" si="37"/>
        <v>2284029.9364499999</v>
      </c>
      <c r="G256" s="237">
        <f t="shared" si="38"/>
        <v>3910391.05314</v>
      </c>
      <c r="H256" s="237">
        <f t="shared" si="39"/>
        <v>6194420.9895900004</v>
      </c>
    </row>
    <row r="257" spans="1:8">
      <c r="A257" s="237" t="s">
        <v>1481</v>
      </c>
      <c r="B257" s="238">
        <v>17222114</v>
      </c>
      <c r="C257" s="238">
        <v>62873</v>
      </c>
      <c r="D257" s="243">
        <v>62.174309999999998</v>
      </c>
      <c r="E257" s="243">
        <v>0.13705000000000001</v>
      </c>
      <c r="F257" s="237">
        <f t="shared" si="37"/>
        <v>2360290.7237</v>
      </c>
      <c r="G257" s="237">
        <f t="shared" si="38"/>
        <v>3909085.3926299997</v>
      </c>
      <c r="H257" s="237">
        <f t="shared" si="39"/>
        <v>6269376.1163299996</v>
      </c>
    </row>
    <row r="258" spans="1:8">
      <c r="A258" s="237" t="s">
        <v>4522</v>
      </c>
      <c r="B258" s="238">
        <v>16613238</v>
      </c>
      <c r="C258" s="238">
        <v>63063</v>
      </c>
      <c r="D258" s="243">
        <v>62.174309999999998</v>
      </c>
      <c r="E258" s="243">
        <v>0.13705000000000001</v>
      </c>
      <c r="F258" s="237">
        <f t="shared" si="37"/>
        <v>2276844.2678999999</v>
      </c>
      <c r="G258" s="237">
        <f t="shared" si="38"/>
        <v>3920898.5115299998</v>
      </c>
      <c r="H258" s="237">
        <f t="shared" si="39"/>
        <v>6197742.7794300001</v>
      </c>
    </row>
    <row r="259" spans="1:8">
      <c r="A259" s="237" t="s">
        <v>689</v>
      </c>
      <c r="B259" s="241">
        <f>SUM(B247:B258)</f>
        <v>186557782</v>
      </c>
      <c r="C259" s="239"/>
      <c r="D259" s="237"/>
      <c r="E259" s="237"/>
      <c r="F259" s="240">
        <f>SUM(F247:F258)</f>
        <v>25567744.0231</v>
      </c>
      <c r="G259" s="240">
        <f>SUM(G247:G258)</f>
        <v>55492788.622909993</v>
      </c>
      <c r="H259" s="240">
        <f t="shared" si="39"/>
        <v>81060532.646009997</v>
      </c>
    </row>
    <row r="260" spans="1:8">
      <c r="A260" s="1625" t="s">
        <v>5061</v>
      </c>
      <c r="B260" s="1626"/>
      <c r="C260" s="1626"/>
      <c r="D260" s="1626"/>
      <c r="E260" s="1626"/>
      <c r="F260" s="1626"/>
      <c r="G260" s="1626"/>
      <c r="H260" s="1627"/>
    </row>
    <row r="261" spans="1:8" ht="78.75">
      <c r="A261" s="235" t="s">
        <v>681</v>
      </c>
      <c r="B261" s="235" t="s">
        <v>2887</v>
      </c>
      <c r="C261" s="235" t="s">
        <v>5058</v>
      </c>
      <c r="D261" s="235" t="s">
        <v>1486</v>
      </c>
      <c r="E261" s="235" t="s">
        <v>1487</v>
      </c>
      <c r="F261" s="235" t="s">
        <v>686</v>
      </c>
      <c r="G261" s="235" t="s">
        <v>687</v>
      </c>
      <c r="H261" s="236" t="s">
        <v>688</v>
      </c>
    </row>
    <row r="262" spans="1:8">
      <c r="A262" s="237" t="s">
        <v>1471</v>
      </c>
      <c r="B262" s="238">
        <v>13205539</v>
      </c>
      <c r="C262" s="238">
        <v>70865</v>
      </c>
      <c r="D262" s="1483">
        <v>57.346510000000002</v>
      </c>
      <c r="E262" s="1483">
        <v>0.1348</v>
      </c>
      <c r="F262" s="237">
        <f>E262*B262/1000</f>
        <v>1780.1066572</v>
      </c>
      <c r="G262" s="237">
        <f>D262*C262</f>
        <v>4063860.4311500001</v>
      </c>
      <c r="H262" s="237">
        <f>F262+G262</f>
        <v>4065640.5378072001</v>
      </c>
    </row>
    <row r="263" spans="1:8">
      <c r="A263" s="237" t="s">
        <v>1472</v>
      </c>
      <c r="B263" s="238">
        <v>15627141</v>
      </c>
      <c r="C263" s="238">
        <v>77950</v>
      </c>
      <c r="D263" s="1483">
        <v>57.346510000000002</v>
      </c>
      <c r="E263" s="1483">
        <v>0.1348</v>
      </c>
      <c r="F263" s="237">
        <f t="shared" ref="F263:F273" si="40">E263*B263/1000</f>
        <v>2106.5386068000003</v>
      </c>
      <c r="G263" s="237">
        <f t="shared" ref="G263:G273" si="41">D263*C263</f>
        <v>4470160.4545</v>
      </c>
      <c r="H263" s="237">
        <f t="shared" ref="H263:H273" si="42">F263+G263</f>
        <v>4472266.9931068001</v>
      </c>
    </row>
    <row r="264" spans="1:8">
      <c r="A264" s="237" t="s">
        <v>1473</v>
      </c>
      <c r="B264" s="238">
        <v>16623863.000000002</v>
      </c>
      <c r="C264" s="238">
        <v>82733</v>
      </c>
      <c r="D264" s="1483">
        <v>57.346510000000002</v>
      </c>
      <c r="E264" s="1483">
        <v>0.1348</v>
      </c>
      <c r="F264" s="237">
        <f t="shared" si="40"/>
        <v>2240.8967324</v>
      </c>
      <c r="G264" s="237">
        <f t="shared" si="41"/>
        <v>4744448.81183</v>
      </c>
      <c r="H264" s="237">
        <f t="shared" si="42"/>
        <v>4746689.7085624002</v>
      </c>
    </row>
    <row r="265" spans="1:8">
      <c r="A265" s="237" t="s">
        <v>1474</v>
      </c>
      <c r="B265" s="238">
        <v>15523957</v>
      </c>
      <c r="C265" s="238">
        <v>72879</v>
      </c>
      <c r="D265" s="1483">
        <v>57.346510000000002</v>
      </c>
      <c r="E265" s="1483">
        <v>0.1348</v>
      </c>
      <c r="F265" s="237">
        <f t="shared" si="40"/>
        <v>2092.6294035999999</v>
      </c>
      <c r="G265" s="237">
        <f t="shared" si="41"/>
        <v>4179356.30229</v>
      </c>
      <c r="H265" s="237">
        <f t="shared" si="42"/>
        <v>4181448.9316936</v>
      </c>
    </row>
    <row r="266" spans="1:8">
      <c r="A266" s="237" t="s">
        <v>1475</v>
      </c>
      <c r="B266" s="238">
        <v>15804606</v>
      </c>
      <c r="C266" s="238">
        <v>74589</v>
      </c>
      <c r="D266" s="1483">
        <v>57.346510000000002</v>
      </c>
      <c r="E266" s="1483">
        <v>0.1348</v>
      </c>
      <c r="F266" s="237">
        <f t="shared" si="40"/>
        <v>2130.4608887999998</v>
      </c>
      <c r="G266" s="237">
        <f t="shared" si="41"/>
        <v>4277418.8343900004</v>
      </c>
      <c r="H266" s="237">
        <f t="shared" si="42"/>
        <v>4279549.2952788007</v>
      </c>
    </row>
    <row r="267" spans="1:8">
      <c r="A267" s="237" t="s">
        <v>1476</v>
      </c>
      <c r="B267" s="238">
        <v>17142186</v>
      </c>
      <c r="C267" s="238">
        <v>72091</v>
      </c>
      <c r="D267" s="1483">
        <v>57.346510000000002</v>
      </c>
      <c r="E267" s="1483">
        <v>0.1348</v>
      </c>
      <c r="F267" s="237">
        <f t="shared" si="40"/>
        <v>2310.7666727999999</v>
      </c>
      <c r="G267" s="237">
        <f t="shared" si="41"/>
        <v>4134167.2524100002</v>
      </c>
      <c r="H267" s="237">
        <f t="shared" si="42"/>
        <v>4136478.0190828</v>
      </c>
    </row>
    <row r="268" spans="1:8">
      <c r="A268" s="237" t="s">
        <v>1477</v>
      </c>
      <c r="B268" s="238">
        <v>17422725</v>
      </c>
      <c r="C268" s="238">
        <v>80248</v>
      </c>
      <c r="D268" s="243">
        <v>55.528750000000002</v>
      </c>
      <c r="E268" s="1483">
        <v>0.1348</v>
      </c>
      <c r="F268" s="237">
        <f t="shared" si="40"/>
        <v>2348.5833299999999</v>
      </c>
      <c r="G268" s="237">
        <f t="shared" si="41"/>
        <v>4456071.13</v>
      </c>
      <c r="H268" s="237">
        <f t="shared" si="42"/>
        <v>4458419.7133299997</v>
      </c>
    </row>
    <row r="269" spans="1:8">
      <c r="A269" s="237" t="s">
        <v>1478</v>
      </c>
      <c r="B269" s="238">
        <v>16039628</v>
      </c>
      <c r="C269" s="238">
        <v>86518</v>
      </c>
      <c r="D269" s="1483">
        <v>55.528750000000002</v>
      </c>
      <c r="E269" s="1483">
        <v>0.1348</v>
      </c>
      <c r="F269" s="237">
        <f t="shared" si="40"/>
        <v>2162.1418544000003</v>
      </c>
      <c r="G269" s="237">
        <f t="shared" si="41"/>
        <v>4804236.3925000001</v>
      </c>
      <c r="H269" s="237">
        <f t="shared" si="42"/>
        <v>4806398.5343543999</v>
      </c>
    </row>
    <row r="270" spans="1:8">
      <c r="A270" s="237" t="s">
        <v>1479</v>
      </c>
      <c r="B270" s="238">
        <v>6606358</v>
      </c>
      <c r="C270" s="238">
        <v>57285</v>
      </c>
      <c r="D270" s="1483">
        <v>55.528750000000002</v>
      </c>
      <c r="E270" s="1483">
        <v>0.1348</v>
      </c>
      <c r="F270" s="237">
        <f t="shared" si="40"/>
        <v>890.53705839999998</v>
      </c>
      <c r="G270" s="237">
        <f t="shared" si="41"/>
        <v>3180964.4437500001</v>
      </c>
      <c r="H270" s="237">
        <f t="shared" si="42"/>
        <v>3181854.9808084001</v>
      </c>
    </row>
    <row r="271" spans="1:8">
      <c r="A271" s="237" t="s">
        <v>1480</v>
      </c>
      <c r="B271" s="238">
        <v>16204196</v>
      </c>
      <c r="C271" s="238">
        <v>73659</v>
      </c>
      <c r="D271" s="1483">
        <v>55.528750000000002</v>
      </c>
      <c r="E271" s="1483">
        <v>0.1348</v>
      </c>
      <c r="F271" s="237">
        <f t="shared" si="40"/>
        <v>2184.3256208000003</v>
      </c>
      <c r="G271" s="237">
        <f t="shared" si="41"/>
        <v>4090192.19625</v>
      </c>
      <c r="H271" s="237">
        <f t="shared" si="42"/>
        <v>4092376.5218707998</v>
      </c>
    </row>
    <row r="272" spans="1:8">
      <c r="A272" s="237" t="s">
        <v>1481</v>
      </c>
      <c r="B272" s="238">
        <v>17050575</v>
      </c>
      <c r="C272" s="238">
        <v>73972</v>
      </c>
      <c r="D272" s="1483">
        <v>55.528750000000002</v>
      </c>
      <c r="E272" s="1483">
        <v>0.1348</v>
      </c>
      <c r="F272" s="237">
        <f t="shared" si="40"/>
        <v>2298.4175100000002</v>
      </c>
      <c r="G272" s="237">
        <f t="shared" si="41"/>
        <v>4107572.6950000003</v>
      </c>
      <c r="H272" s="237">
        <f t="shared" si="42"/>
        <v>4109871.1125100004</v>
      </c>
    </row>
    <row r="273" spans="1:8">
      <c r="A273" s="237" t="s">
        <v>4522</v>
      </c>
      <c r="B273" s="238">
        <v>17488404</v>
      </c>
      <c r="C273" s="238">
        <v>78740</v>
      </c>
      <c r="D273" s="1483">
        <v>55.528750000000002</v>
      </c>
      <c r="E273" s="1483">
        <v>0.1348</v>
      </c>
      <c r="F273" s="237">
        <f t="shared" si="40"/>
        <v>2357.4368591999996</v>
      </c>
      <c r="G273" s="237">
        <f t="shared" si="41"/>
        <v>4372333.7750000004</v>
      </c>
      <c r="H273" s="237">
        <f t="shared" si="42"/>
        <v>4374691.2118592001</v>
      </c>
    </row>
    <row r="274" spans="1:8">
      <c r="A274" s="237" t="s">
        <v>689</v>
      </c>
      <c r="B274" s="241">
        <f>SUM(B262:B273)</f>
        <v>184739178</v>
      </c>
      <c r="C274" s="237"/>
      <c r="D274" s="237"/>
      <c r="E274" s="237"/>
      <c r="F274" s="240">
        <f>SUM(F262:F273)</f>
        <v>24902.8411944</v>
      </c>
      <c r="G274" s="240">
        <f>SUM(G262:G273)</f>
        <v>50880782.719070002</v>
      </c>
      <c r="H274" s="240">
        <f>F274+G274</f>
        <v>50905685.560264401</v>
      </c>
    </row>
    <row r="275" spans="1:8">
      <c r="A275" s="233"/>
    </row>
    <row r="276" spans="1:8">
      <c r="A276" s="1625" t="s">
        <v>5062</v>
      </c>
      <c r="B276" s="1626"/>
      <c r="C276" s="1626"/>
      <c r="D276" s="1626"/>
      <c r="E276" s="1626"/>
      <c r="F276" s="1626"/>
      <c r="G276" s="1626"/>
      <c r="H276" s="1627"/>
    </row>
    <row r="277" spans="1:8" ht="78.75">
      <c r="A277" s="235" t="s">
        <v>681</v>
      </c>
      <c r="B277" s="235" t="s">
        <v>2887</v>
      </c>
      <c r="C277" s="235" t="s">
        <v>5058</v>
      </c>
      <c r="D277" s="235" t="s">
        <v>1486</v>
      </c>
      <c r="E277" s="235" t="s">
        <v>1487</v>
      </c>
      <c r="F277" s="235" t="s">
        <v>686</v>
      </c>
      <c r="G277" s="235" t="s">
        <v>687</v>
      </c>
      <c r="H277" s="236" t="s">
        <v>688</v>
      </c>
    </row>
    <row r="278" spans="1:8">
      <c r="A278" s="237" t="s">
        <v>1471</v>
      </c>
      <c r="B278" s="238">
        <v>14456571</v>
      </c>
      <c r="C278" s="238">
        <v>70865</v>
      </c>
      <c r="D278" s="1483">
        <v>57.346510000000002</v>
      </c>
      <c r="E278" s="1483">
        <v>0.1348</v>
      </c>
      <c r="F278" s="237">
        <f>E278*B278</f>
        <v>1948745.7708000001</v>
      </c>
      <c r="G278" s="237">
        <f>D278*C278</f>
        <v>4063860.4311500001</v>
      </c>
      <c r="H278" s="237">
        <f>F278+G278</f>
        <v>6012606.2019500006</v>
      </c>
    </row>
    <row r="279" spans="1:8">
      <c r="A279" s="237" t="s">
        <v>1472</v>
      </c>
      <c r="B279" s="238">
        <v>15145347</v>
      </c>
      <c r="C279" s="238">
        <v>77950</v>
      </c>
      <c r="D279" s="1483">
        <v>57.346510000000002</v>
      </c>
      <c r="E279" s="1483">
        <v>0.1348</v>
      </c>
      <c r="F279" s="237">
        <f t="shared" ref="F279:F289" si="43">E279*B279</f>
        <v>2041592.7756000001</v>
      </c>
      <c r="G279" s="237">
        <f t="shared" ref="G279:G289" si="44">D279*C279</f>
        <v>4470160.4545</v>
      </c>
      <c r="H279" s="237">
        <f t="shared" ref="H279:H290" si="45">F279+G279</f>
        <v>6511753.2301000003</v>
      </c>
    </row>
    <row r="280" spans="1:8">
      <c r="A280" s="237" t="s">
        <v>1473</v>
      </c>
      <c r="B280" s="238"/>
      <c r="C280" s="238"/>
      <c r="D280" s="1483">
        <v>57.346510000000002</v>
      </c>
      <c r="E280" s="1483">
        <v>0.1348</v>
      </c>
      <c r="F280" s="237">
        <f t="shared" si="43"/>
        <v>0</v>
      </c>
      <c r="G280" s="237">
        <f t="shared" si="44"/>
        <v>0</v>
      </c>
      <c r="H280" s="237">
        <f t="shared" si="45"/>
        <v>0</v>
      </c>
    </row>
    <row r="281" spans="1:8">
      <c r="A281" s="237" t="s">
        <v>1474</v>
      </c>
      <c r="B281" s="238"/>
      <c r="C281" s="238"/>
      <c r="D281" s="1483">
        <v>57.346510000000002</v>
      </c>
      <c r="E281" s="1483">
        <v>0.1348</v>
      </c>
      <c r="F281" s="237">
        <f t="shared" si="43"/>
        <v>0</v>
      </c>
      <c r="G281" s="237">
        <f t="shared" si="44"/>
        <v>0</v>
      </c>
      <c r="H281" s="237">
        <f t="shared" si="45"/>
        <v>0</v>
      </c>
    </row>
    <row r="282" spans="1:8">
      <c r="A282" s="237" t="s">
        <v>1475</v>
      </c>
      <c r="B282" s="238"/>
      <c r="C282" s="238"/>
      <c r="D282" s="1483">
        <v>57.346510000000002</v>
      </c>
      <c r="E282" s="1483">
        <v>0.1348</v>
      </c>
      <c r="F282" s="237">
        <f t="shared" si="43"/>
        <v>0</v>
      </c>
      <c r="G282" s="237">
        <f t="shared" si="44"/>
        <v>0</v>
      </c>
      <c r="H282" s="237">
        <f t="shared" si="45"/>
        <v>0</v>
      </c>
    </row>
    <row r="283" spans="1:8">
      <c r="A283" s="237" t="s">
        <v>1476</v>
      </c>
      <c r="B283" s="238"/>
      <c r="C283" s="238"/>
      <c r="D283" s="1483">
        <v>57.346510000000002</v>
      </c>
      <c r="E283" s="1483">
        <v>0.1348</v>
      </c>
      <c r="F283" s="237">
        <f t="shared" si="43"/>
        <v>0</v>
      </c>
      <c r="G283" s="237">
        <f t="shared" si="44"/>
        <v>0</v>
      </c>
      <c r="H283" s="237">
        <f t="shared" si="45"/>
        <v>0</v>
      </c>
    </row>
    <row r="284" spans="1:8">
      <c r="A284" s="237" t="s">
        <v>1477</v>
      </c>
      <c r="B284" s="238"/>
      <c r="C284" s="238"/>
      <c r="D284" s="243">
        <v>55.528750000000002</v>
      </c>
      <c r="E284" s="1483">
        <v>0.1348</v>
      </c>
      <c r="F284" s="237">
        <f t="shared" si="43"/>
        <v>0</v>
      </c>
      <c r="G284" s="237">
        <f t="shared" si="44"/>
        <v>0</v>
      </c>
      <c r="H284" s="237">
        <f t="shared" si="45"/>
        <v>0</v>
      </c>
    </row>
    <row r="285" spans="1:8">
      <c r="A285" s="237" t="s">
        <v>1478</v>
      </c>
      <c r="B285" s="238"/>
      <c r="C285" s="238"/>
      <c r="D285" s="1483">
        <v>55.528750000000002</v>
      </c>
      <c r="E285" s="1483">
        <v>0.1348</v>
      </c>
      <c r="F285" s="237">
        <f t="shared" si="43"/>
        <v>0</v>
      </c>
      <c r="G285" s="237">
        <f t="shared" si="44"/>
        <v>0</v>
      </c>
      <c r="H285" s="237">
        <f t="shared" si="45"/>
        <v>0</v>
      </c>
    </row>
    <row r="286" spans="1:8">
      <c r="A286" s="237" t="s">
        <v>1479</v>
      </c>
      <c r="B286" s="238"/>
      <c r="C286" s="238"/>
      <c r="D286" s="1483">
        <v>55.528750000000002</v>
      </c>
      <c r="E286" s="1483">
        <v>0.1348</v>
      </c>
      <c r="F286" s="237">
        <f t="shared" si="43"/>
        <v>0</v>
      </c>
      <c r="G286" s="237">
        <f t="shared" si="44"/>
        <v>0</v>
      </c>
      <c r="H286" s="237">
        <f t="shared" si="45"/>
        <v>0</v>
      </c>
    </row>
    <row r="287" spans="1:8">
      <c r="A287" s="237" t="s">
        <v>1480</v>
      </c>
      <c r="B287" s="238"/>
      <c r="C287" s="238"/>
      <c r="D287" s="1483">
        <v>55.528750000000002</v>
      </c>
      <c r="E287" s="1483">
        <v>0.1348</v>
      </c>
      <c r="F287" s="237">
        <f t="shared" si="43"/>
        <v>0</v>
      </c>
      <c r="G287" s="237">
        <f t="shared" si="44"/>
        <v>0</v>
      </c>
      <c r="H287" s="237">
        <f t="shared" si="45"/>
        <v>0</v>
      </c>
    </row>
    <row r="288" spans="1:8">
      <c r="A288" s="237" t="s">
        <v>1481</v>
      </c>
      <c r="B288" s="238"/>
      <c r="C288" s="238"/>
      <c r="D288" s="1483">
        <v>55.528750000000002</v>
      </c>
      <c r="E288" s="1483">
        <v>0.1348</v>
      </c>
      <c r="F288" s="237">
        <f t="shared" si="43"/>
        <v>0</v>
      </c>
      <c r="G288" s="237">
        <f t="shared" si="44"/>
        <v>0</v>
      </c>
      <c r="H288" s="237">
        <f t="shared" si="45"/>
        <v>0</v>
      </c>
    </row>
    <row r="289" spans="1:8">
      <c r="A289" s="237" t="s">
        <v>4522</v>
      </c>
      <c r="B289" s="238"/>
      <c r="C289" s="238"/>
      <c r="D289" s="1483">
        <v>55.528750000000002</v>
      </c>
      <c r="E289" s="1483">
        <v>0.1348</v>
      </c>
      <c r="F289" s="237">
        <f t="shared" si="43"/>
        <v>0</v>
      </c>
      <c r="G289" s="237">
        <f t="shared" si="44"/>
        <v>0</v>
      </c>
      <c r="H289" s="237">
        <f t="shared" si="45"/>
        <v>0</v>
      </c>
    </row>
    <row r="290" spans="1:8">
      <c r="A290" s="237" t="s">
        <v>689</v>
      </c>
      <c r="B290" s="241">
        <f>SUM(B278:B289)</f>
        <v>29601918</v>
      </c>
      <c r="C290" s="239"/>
      <c r="D290" s="237"/>
      <c r="E290" s="237"/>
      <c r="F290" s="240">
        <f>SUM(F278:F289)</f>
        <v>3990338.5464000003</v>
      </c>
      <c r="G290" s="240">
        <f>SUM(G278:G289)</f>
        <v>8534020.8856499996</v>
      </c>
      <c r="H290" s="240">
        <f t="shared" si="45"/>
        <v>12524359.432050001</v>
      </c>
    </row>
  </sheetData>
  <mergeCells count="196">
    <mergeCell ref="B162:C162"/>
    <mergeCell ref="A165:H165"/>
    <mergeCell ref="A276:H276"/>
    <mergeCell ref="D162:E162"/>
    <mergeCell ref="F162:H162"/>
    <mergeCell ref="B163:C163"/>
    <mergeCell ref="D163:E163"/>
    <mergeCell ref="F163:H163"/>
    <mergeCell ref="A245:H245"/>
    <mergeCell ref="A164:H164"/>
    <mergeCell ref="A229:H229"/>
    <mergeCell ref="A214:H214"/>
    <mergeCell ref="A260:H260"/>
    <mergeCell ref="A166:H166"/>
    <mergeCell ref="A182:H182"/>
    <mergeCell ref="A197:H197"/>
    <mergeCell ref="A198:H198"/>
    <mergeCell ref="F159:H159"/>
    <mergeCell ref="F161:H161"/>
    <mergeCell ref="B159:C159"/>
    <mergeCell ref="D159:E159"/>
    <mergeCell ref="F160:H160"/>
    <mergeCell ref="B161:C161"/>
    <mergeCell ref="B160:C160"/>
    <mergeCell ref="D160:E160"/>
    <mergeCell ref="D161:E161"/>
    <mergeCell ref="F151:H151"/>
    <mergeCell ref="F150:H150"/>
    <mergeCell ref="B152:C152"/>
    <mergeCell ref="D151:E151"/>
    <mergeCell ref="B150:C150"/>
    <mergeCell ref="D152:E152"/>
    <mergeCell ref="B151:C151"/>
    <mergeCell ref="D150:E150"/>
    <mergeCell ref="F152:H152"/>
    <mergeCell ref="F156:H156"/>
    <mergeCell ref="F158:H158"/>
    <mergeCell ref="F157:H157"/>
    <mergeCell ref="D153:E153"/>
    <mergeCell ref="F153:H153"/>
    <mergeCell ref="F155:H155"/>
    <mergeCell ref="F154:H154"/>
    <mergeCell ref="B153:C153"/>
    <mergeCell ref="D155:E155"/>
    <mergeCell ref="B156:C156"/>
    <mergeCell ref="D154:E154"/>
    <mergeCell ref="B155:C155"/>
    <mergeCell ref="B154:C154"/>
    <mergeCell ref="D156:E156"/>
    <mergeCell ref="B157:C157"/>
    <mergeCell ref="D157:E157"/>
    <mergeCell ref="D158:E158"/>
    <mergeCell ref="B158:C158"/>
    <mergeCell ref="D142:E142"/>
    <mergeCell ref="B141:C141"/>
    <mergeCell ref="D141:E141"/>
    <mergeCell ref="F145:H145"/>
    <mergeCell ref="B146:C146"/>
    <mergeCell ref="D146:E146"/>
    <mergeCell ref="B145:C145"/>
    <mergeCell ref="D145:E145"/>
    <mergeCell ref="F146:H146"/>
    <mergeCell ref="A132:H132"/>
    <mergeCell ref="D130:E130"/>
    <mergeCell ref="F130:H130"/>
    <mergeCell ref="D129:E129"/>
    <mergeCell ref="A149:H149"/>
    <mergeCell ref="B147:C147"/>
    <mergeCell ref="F147:H147"/>
    <mergeCell ref="B144:C144"/>
    <mergeCell ref="B142:C142"/>
    <mergeCell ref="F142:H142"/>
    <mergeCell ref="D147:E147"/>
    <mergeCell ref="D137:E137"/>
    <mergeCell ref="B143:C143"/>
    <mergeCell ref="F143:H143"/>
    <mergeCell ref="F144:H144"/>
    <mergeCell ref="D144:E144"/>
    <mergeCell ref="D143:E143"/>
    <mergeCell ref="F139:H139"/>
    <mergeCell ref="F140:H140"/>
    <mergeCell ref="B139:C139"/>
    <mergeCell ref="D139:E139"/>
    <mergeCell ref="B140:C140"/>
    <mergeCell ref="D140:E140"/>
    <mergeCell ref="F141:H141"/>
    <mergeCell ref="B127:C127"/>
    <mergeCell ref="B126:C126"/>
    <mergeCell ref="B125:C125"/>
    <mergeCell ref="F123:H123"/>
    <mergeCell ref="B129:C129"/>
    <mergeCell ref="B130:C130"/>
    <mergeCell ref="D131:E131"/>
    <mergeCell ref="F137:H137"/>
    <mergeCell ref="F138:H138"/>
    <mergeCell ref="D138:E138"/>
    <mergeCell ref="B138:C138"/>
    <mergeCell ref="B137:C137"/>
    <mergeCell ref="F136:H136"/>
    <mergeCell ref="F134:H134"/>
    <mergeCell ref="B135:C135"/>
    <mergeCell ref="A133:H133"/>
    <mergeCell ref="D134:E134"/>
    <mergeCell ref="B134:C134"/>
    <mergeCell ref="B136:C136"/>
    <mergeCell ref="F131:H131"/>
    <mergeCell ref="F129:H129"/>
    <mergeCell ref="D136:E136"/>
    <mergeCell ref="D135:E135"/>
    <mergeCell ref="F135:H135"/>
    <mergeCell ref="F121:H121"/>
    <mergeCell ref="F119:H119"/>
    <mergeCell ref="D119:E119"/>
    <mergeCell ref="F122:H122"/>
    <mergeCell ref="D105:E105"/>
    <mergeCell ref="B131:C131"/>
    <mergeCell ref="F126:H126"/>
    <mergeCell ref="F127:H127"/>
    <mergeCell ref="D125:E125"/>
    <mergeCell ref="F128:H128"/>
    <mergeCell ref="F125:H125"/>
    <mergeCell ref="D128:E128"/>
    <mergeCell ref="B121:C121"/>
    <mergeCell ref="B122:C122"/>
    <mergeCell ref="D122:E122"/>
    <mergeCell ref="D121:E121"/>
    <mergeCell ref="F124:H124"/>
    <mergeCell ref="D124:E124"/>
    <mergeCell ref="B124:C124"/>
    <mergeCell ref="D123:E123"/>
    <mergeCell ref="B123:C123"/>
    <mergeCell ref="B128:C128"/>
    <mergeCell ref="D126:E126"/>
    <mergeCell ref="D127:E127"/>
    <mergeCell ref="B112:C112"/>
    <mergeCell ref="D102:E102"/>
    <mergeCell ref="F112:H112"/>
    <mergeCell ref="D111:E111"/>
    <mergeCell ref="D112:E112"/>
    <mergeCell ref="B114:C114"/>
    <mergeCell ref="F115:H115"/>
    <mergeCell ref="F102:H102"/>
    <mergeCell ref="B102:C102"/>
    <mergeCell ref="F110:H110"/>
    <mergeCell ref="F109:H109"/>
    <mergeCell ref="D109:E109"/>
    <mergeCell ref="B109:C109"/>
    <mergeCell ref="F106:H106"/>
    <mergeCell ref="B106:C106"/>
    <mergeCell ref="D106:E106"/>
    <mergeCell ref="B120:C120"/>
    <mergeCell ref="F113:H113"/>
    <mergeCell ref="F114:H114"/>
    <mergeCell ref="D114:E114"/>
    <mergeCell ref="D113:E113"/>
    <mergeCell ref="B119:C119"/>
    <mergeCell ref="A117:H117"/>
    <mergeCell ref="B113:C113"/>
    <mergeCell ref="B118:C118"/>
    <mergeCell ref="B115:C115"/>
    <mergeCell ref="D115:E115"/>
    <mergeCell ref="D118:E118"/>
    <mergeCell ref="F118:H118"/>
    <mergeCell ref="D120:E120"/>
    <mergeCell ref="F120:H120"/>
    <mergeCell ref="A98:H98"/>
    <mergeCell ref="B103:C103"/>
    <mergeCell ref="D103:E103"/>
    <mergeCell ref="F103:H103"/>
    <mergeCell ref="A101:H101"/>
    <mergeCell ref="F107:H107"/>
    <mergeCell ref="B111:C111"/>
    <mergeCell ref="B110:C110"/>
    <mergeCell ref="D110:E110"/>
    <mergeCell ref="F108:H108"/>
    <mergeCell ref="B107:C107"/>
    <mergeCell ref="D107:E107"/>
    <mergeCell ref="F111:H111"/>
    <mergeCell ref="B108:C108"/>
    <mergeCell ref="D108:E108"/>
    <mergeCell ref="A99:H99"/>
    <mergeCell ref="F105:H105"/>
    <mergeCell ref="B105:C105"/>
    <mergeCell ref="D104:E104"/>
    <mergeCell ref="F104:H104"/>
    <mergeCell ref="B104:C104"/>
    <mergeCell ref="A51:H51"/>
    <mergeCell ref="A83:H83"/>
    <mergeCell ref="A66:H66"/>
    <mergeCell ref="B2:I2"/>
    <mergeCell ref="A3:H3"/>
    <mergeCell ref="A18:H18"/>
    <mergeCell ref="A19:H19"/>
    <mergeCell ref="A34:H34"/>
    <mergeCell ref="A35:H35"/>
    <mergeCell ref="A67:H67"/>
  </mergeCells>
  <phoneticPr fontId="0" type="noConversion"/>
  <hyperlinks>
    <hyperlink ref="A1" location="Главная!A1" display="Переход на главную страницу"/>
  </hyperlinks>
  <pageMargins left="0.7" right="0.7" top="0.75" bottom="0.75" header="0.3" footer="0.3"/>
  <pageSetup paperSize="9" scale="53" fitToHeight="0" orientation="portrait" r:id="rId1"/>
  <rowBreaks count="1" manualBreakCount="1">
    <brk id="213" max="7" man="1"/>
  </row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A1:P69"/>
  <sheetViews>
    <sheetView showGridLines="0" view="pageBreakPreview" topLeftCell="A21" zoomScale="75" zoomScaleNormal="80" workbookViewId="0">
      <selection activeCell="D66" sqref="D66"/>
    </sheetView>
  </sheetViews>
  <sheetFormatPr defaultRowHeight="15"/>
  <cols>
    <col min="1" max="1" width="62.5703125" customWidth="1"/>
    <col min="2" max="2" width="14.140625" customWidth="1"/>
    <col min="3" max="3" width="14.42578125" customWidth="1"/>
    <col min="4" max="4" width="15.85546875" customWidth="1"/>
    <col min="5" max="5" width="15.140625" customWidth="1"/>
    <col min="6" max="14" width="14.85546875" bestFit="1" customWidth="1"/>
    <col min="15" max="15" width="16.28515625" bestFit="1" customWidth="1"/>
    <col min="16" max="16" width="14.85546875" bestFit="1" customWidth="1"/>
    <col min="17" max="17" width="17" customWidth="1"/>
    <col min="18" max="19" width="15.5703125" customWidth="1"/>
  </cols>
  <sheetData>
    <row r="1" spans="1:15" ht="15.75">
      <c r="A1" s="79" t="s">
        <v>724</v>
      </c>
      <c r="O1" t="s">
        <v>2889</v>
      </c>
    </row>
    <row r="2" spans="1:15" ht="15.75" thickBot="1"/>
    <row r="3" spans="1:15" ht="15.75" thickBot="1">
      <c r="A3" s="244" t="s">
        <v>679</v>
      </c>
      <c r="B3" s="245" t="s">
        <v>2890</v>
      </c>
      <c r="C3" s="246" t="s">
        <v>1471</v>
      </c>
      <c r="D3" s="247" t="s">
        <v>1472</v>
      </c>
      <c r="E3" s="247" t="s">
        <v>1473</v>
      </c>
      <c r="F3" s="247" t="s">
        <v>1474</v>
      </c>
      <c r="G3" s="247" t="s">
        <v>1475</v>
      </c>
      <c r="H3" s="247" t="s">
        <v>1476</v>
      </c>
      <c r="I3" s="247" t="s">
        <v>1477</v>
      </c>
      <c r="J3" s="247" t="s">
        <v>1478</v>
      </c>
      <c r="K3" s="247" t="s">
        <v>1479</v>
      </c>
      <c r="L3" s="247" t="s">
        <v>1480</v>
      </c>
      <c r="M3" s="247" t="s">
        <v>1481</v>
      </c>
      <c r="N3" s="248" t="s">
        <v>4522</v>
      </c>
      <c r="O3" s="245" t="s">
        <v>2891</v>
      </c>
    </row>
    <row r="4" spans="1:15">
      <c r="A4" s="249" t="s">
        <v>2892</v>
      </c>
      <c r="B4" s="250" t="s">
        <v>2893</v>
      </c>
      <c r="C4" s="251">
        <v>316438</v>
      </c>
      <c r="D4" s="251">
        <v>497278</v>
      </c>
      <c r="E4" s="251">
        <v>1592918</v>
      </c>
      <c r="F4" s="251">
        <v>2352289</v>
      </c>
      <c r="G4" s="251">
        <v>2392958</v>
      </c>
      <c r="H4" s="251">
        <v>2029727</v>
      </c>
      <c r="I4" s="251">
        <v>1762241</v>
      </c>
      <c r="J4" s="251">
        <v>284721</v>
      </c>
      <c r="K4" s="251">
        <v>1151599</v>
      </c>
      <c r="L4" s="251">
        <v>1531606</v>
      </c>
      <c r="M4" s="251">
        <v>2349256</v>
      </c>
      <c r="N4" s="251">
        <v>532078</v>
      </c>
      <c r="O4" s="251">
        <f>SUM(C4:N4)</f>
        <v>16793109</v>
      </c>
    </row>
    <row r="5" spans="1:15">
      <c r="A5" s="252" t="s">
        <v>2894</v>
      </c>
      <c r="B5" s="253" t="s">
        <v>2893</v>
      </c>
      <c r="C5" s="251">
        <v>946547</v>
      </c>
      <c r="D5" s="251">
        <v>628012</v>
      </c>
      <c r="E5" s="251">
        <v>573363</v>
      </c>
      <c r="F5" s="251">
        <v>457949</v>
      </c>
      <c r="G5" s="251">
        <v>725947</v>
      </c>
      <c r="H5" s="251">
        <v>440606</v>
      </c>
      <c r="I5" s="251">
        <v>391097</v>
      </c>
      <c r="J5" s="251">
        <v>303170</v>
      </c>
      <c r="K5" s="251">
        <v>422017</v>
      </c>
      <c r="L5" s="251">
        <v>589971</v>
      </c>
      <c r="M5" s="251">
        <v>656412</v>
      </c>
      <c r="N5" s="251">
        <v>1017038</v>
      </c>
      <c r="O5" s="251">
        <v>7152129</v>
      </c>
    </row>
    <row r="6" spans="1:15">
      <c r="A6" s="252" t="s">
        <v>2895</v>
      </c>
      <c r="B6" s="254" t="s">
        <v>2896</v>
      </c>
      <c r="C6" s="255">
        <f>C5/C4</f>
        <v>2.9912557910238342</v>
      </c>
      <c r="D6" s="255">
        <f t="shared" ref="D6:N6" si="0">D5/D4</f>
        <v>1.2628992233720373</v>
      </c>
      <c r="E6" s="255">
        <f t="shared" si="0"/>
        <v>0.35994508191884328</v>
      </c>
      <c r="F6" s="255">
        <f t="shared" si="0"/>
        <v>0.1946822860626394</v>
      </c>
      <c r="G6" s="255">
        <f t="shared" si="0"/>
        <v>0.30336804908402071</v>
      </c>
      <c r="H6" s="255">
        <f t="shared" si="0"/>
        <v>0.21707648368475169</v>
      </c>
      <c r="I6" s="255">
        <f t="shared" si="0"/>
        <v>0.22193162002246003</v>
      </c>
      <c r="J6" s="255">
        <f t="shared" si="0"/>
        <v>1.0647967659568489</v>
      </c>
      <c r="K6" s="255">
        <f t="shared" si="0"/>
        <v>0.36646176316582424</v>
      </c>
      <c r="L6" s="255">
        <f t="shared" si="0"/>
        <v>0.38519762915527883</v>
      </c>
      <c r="M6" s="255">
        <f t="shared" si="0"/>
        <v>0.27941271619610636</v>
      </c>
      <c r="N6" s="255">
        <f t="shared" si="0"/>
        <v>1.9114453144087897</v>
      </c>
      <c r="O6" s="253">
        <v>5921532.7758248607</v>
      </c>
    </row>
    <row r="7" spans="1:15" ht="15.75" thickBot="1">
      <c r="A7" s="256" t="s">
        <v>2894</v>
      </c>
      <c r="B7" s="257" t="s">
        <v>2896</v>
      </c>
      <c r="C7" s="258">
        <v>100</v>
      </c>
      <c r="D7" s="258">
        <v>100</v>
      </c>
      <c r="E7" s="258">
        <v>100</v>
      </c>
      <c r="F7" s="258">
        <v>100</v>
      </c>
      <c r="G7" s="258">
        <v>100</v>
      </c>
      <c r="H7" s="258">
        <v>100</v>
      </c>
      <c r="I7" s="258">
        <v>100</v>
      </c>
      <c r="J7" s="258">
        <v>100</v>
      </c>
      <c r="K7" s="258">
        <v>100</v>
      </c>
      <c r="L7" s="258">
        <v>100</v>
      </c>
      <c r="M7" s="258">
        <v>100</v>
      </c>
      <c r="N7" s="259">
        <v>100</v>
      </c>
      <c r="O7" s="260">
        <v>100</v>
      </c>
    </row>
    <row r="8" spans="1:15" ht="19.5" thickBot="1">
      <c r="A8" s="1648"/>
      <c r="B8" s="1648"/>
      <c r="C8" s="1648"/>
      <c r="D8" s="1648"/>
      <c r="E8" s="1648"/>
      <c r="F8" s="1648"/>
      <c r="G8" s="1648"/>
      <c r="H8" s="1648"/>
      <c r="I8" s="1648"/>
      <c r="J8" s="1648"/>
      <c r="K8" s="1648"/>
      <c r="L8" s="1648"/>
      <c r="M8" s="1648"/>
      <c r="N8" s="1648"/>
      <c r="O8" s="1648"/>
    </row>
    <row r="9" spans="1:15" ht="15.75" thickBot="1">
      <c r="A9" s="244" t="s">
        <v>690</v>
      </c>
      <c r="B9" s="245" t="s">
        <v>2890</v>
      </c>
      <c r="C9" s="246" t="s">
        <v>1471</v>
      </c>
      <c r="D9" s="247" t="s">
        <v>1472</v>
      </c>
      <c r="E9" s="247" t="s">
        <v>1473</v>
      </c>
      <c r="F9" s="247" t="s">
        <v>1474</v>
      </c>
      <c r="G9" s="247" t="s">
        <v>1475</v>
      </c>
      <c r="H9" s="247" t="s">
        <v>1476</v>
      </c>
      <c r="I9" s="247" t="s">
        <v>1477</v>
      </c>
      <c r="J9" s="247" t="s">
        <v>1478</v>
      </c>
      <c r="K9" s="247" t="s">
        <v>1479</v>
      </c>
      <c r="L9" s="247" t="s">
        <v>1480</v>
      </c>
      <c r="M9" s="247" t="s">
        <v>1481</v>
      </c>
      <c r="N9" s="248" t="s">
        <v>4522</v>
      </c>
      <c r="O9" s="245" t="s">
        <v>2891</v>
      </c>
    </row>
    <row r="10" spans="1:15">
      <c r="A10" s="249" t="s">
        <v>2892</v>
      </c>
      <c r="B10" s="261" t="s">
        <v>2893</v>
      </c>
      <c r="C10" s="262">
        <v>798207</v>
      </c>
      <c r="D10" s="263">
        <v>903249</v>
      </c>
      <c r="E10" s="263">
        <v>1516058</v>
      </c>
      <c r="F10" s="263">
        <v>2529654</v>
      </c>
      <c r="G10" s="263">
        <v>1888195</v>
      </c>
      <c r="H10" s="263">
        <v>1551915</v>
      </c>
      <c r="I10" s="263">
        <v>1657050</v>
      </c>
      <c r="J10" s="263">
        <v>305661</v>
      </c>
      <c r="K10" s="263">
        <v>336269</v>
      </c>
      <c r="L10" s="263">
        <v>1697256</v>
      </c>
      <c r="M10" s="263">
        <v>1605542</v>
      </c>
      <c r="N10" s="264">
        <v>1352045</v>
      </c>
      <c r="O10" s="265">
        <f>SUM(C10:N10)</f>
        <v>16141101</v>
      </c>
    </row>
    <row r="11" spans="1:15" ht="15" hidden="1" customHeight="1">
      <c r="A11" s="252" t="s">
        <v>2897</v>
      </c>
      <c r="B11" s="266" t="s">
        <v>2898</v>
      </c>
      <c r="C11" s="267">
        <v>2.6190000000000002</v>
      </c>
      <c r="D11" s="268">
        <v>2.6190000000000002</v>
      </c>
      <c r="E11" s="268">
        <v>2.6190000000000002</v>
      </c>
      <c r="F11" s="268">
        <v>2.6190000000000002</v>
      </c>
      <c r="G11" s="268">
        <v>2.6190000000000002</v>
      </c>
      <c r="H11" s="268">
        <v>2.6190000000000002</v>
      </c>
      <c r="I11" s="268">
        <v>2.6190000000000002</v>
      </c>
      <c r="J11" s="268">
        <v>2.6190000000000002</v>
      </c>
      <c r="K11" s="268">
        <v>2.6190000000000002</v>
      </c>
      <c r="L11" s="268">
        <v>2.6190000000000002</v>
      </c>
      <c r="M11" s="268">
        <v>2.6190000000000002</v>
      </c>
      <c r="N11" s="269">
        <v>2.6190000000000002</v>
      </c>
      <c r="O11" s="270">
        <f>SUM(C11:N11)</f>
        <v>31.428000000000001</v>
      </c>
    </row>
    <row r="12" spans="1:15" hidden="1">
      <c r="A12" s="252" t="s">
        <v>2899</v>
      </c>
      <c r="B12" s="266" t="s">
        <v>2898</v>
      </c>
      <c r="C12" s="267">
        <v>3.4996606975202695</v>
      </c>
      <c r="D12" s="268">
        <v>3.6982102759707374</v>
      </c>
      <c r="E12" s="268">
        <v>3.5065978649025693</v>
      </c>
      <c r="F12" s="268">
        <v>3.4219530990140004</v>
      </c>
      <c r="G12" s="268">
        <v>3.6274485764902362</v>
      </c>
      <c r="H12" s="268">
        <v>3.545970213257593</v>
      </c>
      <c r="I12" s="268">
        <v>3.6252630811346234</v>
      </c>
      <c r="J12" s="268">
        <v>6.1829511985181123</v>
      </c>
      <c r="K12" s="268">
        <v>3.1383490835834094</v>
      </c>
      <c r="L12" s="268">
        <v>3.177259563948764</v>
      </c>
      <c r="M12" s="268">
        <v>3.5699064287808788</v>
      </c>
      <c r="N12" s="269">
        <v>3.5351857283164971</v>
      </c>
      <c r="O12" s="270">
        <v>3.7107296509531413</v>
      </c>
    </row>
    <row r="13" spans="1:15" hidden="1">
      <c r="A13" s="252" t="s">
        <v>2900</v>
      </c>
      <c r="B13" s="266" t="s">
        <v>2893</v>
      </c>
      <c r="C13" s="267">
        <v>427516</v>
      </c>
      <c r="D13" s="268">
        <v>490071</v>
      </c>
      <c r="E13" s="268">
        <v>776424</v>
      </c>
      <c r="F13" s="268">
        <v>1040306</v>
      </c>
      <c r="G13" s="268">
        <v>888969</v>
      </c>
      <c r="H13" s="268">
        <v>718928</v>
      </c>
      <c r="I13" s="268">
        <v>373969</v>
      </c>
      <c r="J13" s="268">
        <v>108134</v>
      </c>
      <c r="K13" s="268">
        <v>100420</v>
      </c>
      <c r="L13" s="268">
        <v>462483</v>
      </c>
      <c r="M13" s="268">
        <v>415292</v>
      </c>
      <c r="N13" s="269">
        <v>298076</v>
      </c>
      <c r="O13" s="270">
        <v>5802512</v>
      </c>
    </row>
    <row r="14" spans="1:15" hidden="1">
      <c r="A14" s="252" t="s">
        <v>2901</v>
      </c>
      <c r="B14" s="266" t="s">
        <v>2893</v>
      </c>
      <c r="C14" s="267">
        <v>370691</v>
      </c>
      <c r="D14" s="268">
        <v>413178</v>
      </c>
      <c r="E14" s="268">
        <v>739634</v>
      </c>
      <c r="F14" s="268">
        <v>1489348</v>
      </c>
      <c r="G14" s="268">
        <v>999226</v>
      </c>
      <c r="H14" s="268">
        <v>832987</v>
      </c>
      <c r="I14" s="268">
        <v>1283081</v>
      </c>
      <c r="J14" s="268">
        <v>197527</v>
      </c>
      <c r="K14" s="268">
        <v>235849</v>
      </c>
      <c r="L14" s="268">
        <v>1234773</v>
      </c>
      <c r="M14" s="268">
        <v>1190250</v>
      </c>
      <c r="N14" s="269">
        <v>1053969</v>
      </c>
      <c r="O14" s="270">
        <v>10040513</v>
      </c>
    </row>
    <row r="15" spans="1:15" hidden="1">
      <c r="A15" s="252" t="s">
        <v>2902</v>
      </c>
      <c r="B15" s="266" t="s">
        <v>2903</v>
      </c>
      <c r="C15" s="267">
        <v>2416957.1276244866</v>
      </c>
      <c r="D15" s="268">
        <v>2811515.0744050373</v>
      </c>
      <c r="E15" s="268">
        <v>4627053.4612093475</v>
      </c>
      <c r="F15" s="268">
        <v>7821040.4181103036</v>
      </c>
      <c r="G15" s="268">
        <v>5952850.7422920335</v>
      </c>
      <c r="H15" s="268">
        <v>4836619.5220308024</v>
      </c>
      <c r="I15" s="268">
        <v>5630930.9904052932</v>
      </c>
      <c r="J15" s="268">
        <v>1504502.7473896872</v>
      </c>
      <c r="K15" s="268">
        <v>1003176.4730140637</v>
      </c>
      <c r="L15" s="268">
        <v>5134437.300555707</v>
      </c>
      <c r="M15" s="268">
        <v>5336730.8748564404</v>
      </c>
      <c r="N15" s="269">
        <v>4506637.2108880104</v>
      </c>
      <c r="O15" s="270">
        <v>51582451.942781217</v>
      </c>
    </row>
    <row r="16" spans="1:15" hidden="1">
      <c r="A16" s="252" t="s">
        <v>2904</v>
      </c>
      <c r="B16" s="266" t="s">
        <v>2898</v>
      </c>
      <c r="C16" s="267">
        <v>3.0279828761517833</v>
      </c>
      <c r="D16" s="268">
        <v>3.112668903486234</v>
      </c>
      <c r="E16" s="268">
        <v>3.0520293162988139</v>
      </c>
      <c r="F16" s="268">
        <v>3.091743146734812</v>
      </c>
      <c r="G16" s="268">
        <v>3.1526673581341087</v>
      </c>
      <c r="H16" s="268">
        <v>3.1165492453071222</v>
      </c>
      <c r="I16" s="268">
        <v>3.3981660121331845</v>
      </c>
      <c r="J16" s="268">
        <v>4.9221285914450563</v>
      </c>
      <c r="K16" s="268">
        <v>2.9832558844676842</v>
      </c>
      <c r="L16" s="268">
        <v>3.0251401677505969</v>
      </c>
      <c r="M16" s="268">
        <v>3.3239434875303422</v>
      </c>
      <c r="N16" s="269">
        <v>3.3332006041869984</v>
      </c>
      <c r="O16" s="270">
        <v>3.294956299468895</v>
      </c>
    </row>
    <row r="17" spans="1:16" hidden="1">
      <c r="A17" s="252" t="s">
        <v>2905</v>
      </c>
      <c r="B17" s="266" t="s">
        <v>2898</v>
      </c>
      <c r="C17" s="267">
        <v>2416957.1276244866</v>
      </c>
      <c r="D17" s="268">
        <v>2811515.0744050373</v>
      </c>
      <c r="E17" s="268">
        <v>4627053.4612093475</v>
      </c>
      <c r="F17" s="268">
        <v>7821040.4181103036</v>
      </c>
      <c r="G17" s="268">
        <v>5952850.7422920335</v>
      </c>
      <c r="H17" s="268">
        <v>4836619.5220308024</v>
      </c>
      <c r="I17" s="268">
        <v>5630930.9904052932</v>
      </c>
      <c r="J17" s="268">
        <v>1504502.7473896872</v>
      </c>
      <c r="K17" s="268">
        <v>1003176.4730140637</v>
      </c>
      <c r="L17" s="268">
        <v>5134437.300555707</v>
      </c>
      <c r="M17" s="268">
        <v>5336730.8748564404</v>
      </c>
      <c r="N17" s="269">
        <v>4506637.2108880104</v>
      </c>
      <c r="O17" s="270">
        <v>51582451.942781217</v>
      </c>
    </row>
    <row r="18" spans="1:16">
      <c r="A18" s="252" t="s">
        <v>2894</v>
      </c>
      <c r="B18" s="266" t="s">
        <v>2893</v>
      </c>
      <c r="C18" s="267">
        <v>1291432</v>
      </c>
      <c r="D18" s="268">
        <v>354587</v>
      </c>
      <c r="E18" s="268">
        <v>719393</v>
      </c>
      <c r="F18" s="268">
        <v>578926</v>
      </c>
      <c r="G18" s="268">
        <v>591216</v>
      </c>
      <c r="H18" s="268">
        <v>471839</v>
      </c>
      <c r="I18" s="268">
        <v>546267</v>
      </c>
      <c r="J18" s="268">
        <v>109213</v>
      </c>
      <c r="K18" s="268">
        <v>275564</v>
      </c>
      <c r="L18" s="268">
        <v>890104</v>
      </c>
      <c r="M18" s="268">
        <v>374223</v>
      </c>
      <c r="N18" s="269">
        <v>870838</v>
      </c>
      <c r="O18" s="270">
        <f>SUM(C18:N18)</f>
        <v>7073602</v>
      </c>
    </row>
    <row r="19" spans="1:16">
      <c r="A19" s="252" t="s">
        <v>2895</v>
      </c>
      <c r="B19" s="254" t="s">
        <v>2896</v>
      </c>
      <c r="C19" s="271">
        <f>C18/C10</f>
        <v>1.6179161545814558</v>
      </c>
      <c r="D19" s="271">
        <f t="shared" ref="D19:N19" si="1">D18/D10</f>
        <v>0.39256838369043306</v>
      </c>
      <c r="E19" s="271">
        <f t="shared" si="1"/>
        <v>0.47451548687451273</v>
      </c>
      <c r="F19" s="271">
        <f t="shared" si="1"/>
        <v>0.22885580399532901</v>
      </c>
      <c r="G19" s="271">
        <f t="shared" si="1"/>
        <v>0.31311172839669632</v>
      </c>
      <c r="H19" s="271">
        <f t="shared" si="1"/>
        <v>0.30403662571725898</v>
      </c>
      <c r="I19" s="271">
        <f t="shared" si="1"/>
        <v>0.32966235176971126</v>
      </c>
      <c r="J19" s="271">
        <f t="shared" si="1"/>
        <v>0.35730106228795955</v>
      </c>
      <c r="K19" s="271">
        <f t="shared" si="1"/>
        <v>0.81947488469053054</v>
      </c>
      <c r="L19" s="271">
        <f t="shared" si="1"/>
        <v>0.52443709139929395</v>
      </c>
      <c r="M19" s="271">
        <f t="shared" si="1"/>
        <v>0.23308203709401559</v>
      </c>
      <c r="N19" s="271">
        <f t="shared" si="1"/>
        <v>0.64408950885510463</v>
      </c>
      <c r="O19" s="272">
        <f>O18/O10</f>
        <v>0.43823540909631875</v>
      </c>
    </row>
    <row r="20" spans="1:16" ht="15.75" thickBot="1">
      <c r="A20" s="256" t="s">
        <v>2894</v>
      </c>
      <c r="B20" s="257" t="s">
        <v>2896</v>
      </c>
      <c r="C20" s="258">
        <v>100</v>
      </c>
      <c r="D20" s="258">
        <v>100</v>
      </c>
      <c r="E20" s="258">
        <v>100</v>
      </c>
      <c r="F20" s="258">
        <v>100</v>
      </c>
      <c r="G20" s="258">
        <v>100</v>
      </c>
      <c r="H20" s="258">
        <v>100</v>
      </c>
      <c r="I20" s="258">
        <v>100</v>
      </c>
      <c r="J20" s="258">
        <v>100</v>
      </c>
      <c r="K20" s="258">
        <v>100</v>
      </c>
      <c r="L20" s="258">
        <v>100</v>
      </c>
      <c r="M20" s="258">
        <v>100</v>
      </c>
      <c r="N20" s="259">
        <v>100</v>
      </c>
      <c r="O20" s="260">
        <v>100</v>
      </c>
    </row>
    <row r="21" spans="1:16" ht="15.75" thickBot="1"/>
    <row r="22" spans="1:16" ht="15.75" thickBot="1">
      <c r="A22" s="244" t="s">
        <v>692</v>
      </c>
      <c r="B22" s="245" t="s">
        <v>2890</v>
      </c>
      <c r="C22" s="246" t="s">
        <v>1471</v>
      </c>
      <c r="D22" s="247" t="s">
        <v>1472</v>
      </c>
      <c r="E22" s="247" t="s">
        <v>1473</v>
      </c>
      <c r="F22" s="247" t="s">
        <v>1474</v>
      </c>
      <c r="G22" s="247" t="s">
        <v>1475</v>
      </c>
      <c r="H22" s="247" t="s">
        <v>1476</v>
      </c>
      <c r="I22" s="247" t="s">
        <v>1477</v>
      </c>
      <c r="J22" s="247" t="s">
        <v>1478</v>
      </c>
      <c r="K22" s="247" t="s">
        <v>1479</v>
      </c>
      <c r="L22" s="247" t="s">
        <v>1480</v>
      </c>
      <c r="M22" s="247" t="s">
        <v>1481</v>
      </c>
      <c r="N22" s="248" t="s">
        <v>4522</v>
      </c>
      <c r="O22" s="245" t="s">
        <v>2891</v>
      </c>
    </row>
    <row r="23" spans="1:16">
      <c r="A23" s="249" t="s">
        <v>2892</v>
      </c>
      <c r="B23" s="261" t="s">
        <v>2893</v>
      </c>
      <c r="C23" s="262">
        <v>753229</v>
      </c>
      <c r="D23" s="263">
        <v>1169399</v>
      </c>
      <c r="E23" s="263">
        <v>1306328</v>
      </c>
      <c r="F23" s="263">
        <v>2007871</v>
      </c>
      <c r="G23" s="263">
        <v>2400167</v>
      </c>
      <c r="H23" s="263">
        <v>2399670</v>
      </c>
      <c r="I23" s="263">
        <v>2404432</v>
      </c>
      <c r="J23" s="263">
        <v>1150404</v>
      </c>
      <c r="K23" s="263">
        <v>1388763</v>
      </c>
      <c r="L23" s="263">
        <v>2431991</v>
      </c>
      <c r="M23" s="263">
        <v>2251830</v>
      </c>
      <c r="N23" s="264">
        <v>613666</v>
      </c>
      <c r="O23" s="265">
        <f>SUM(C23:N23)</f>
        <v>20277750</v>
      </c>
    </row>
    <row r="24" spans="1:16">
      <c r="A24" s="252" t="s">
        <v>2894</v>
      </c>
      <c r="B24" s="266" t="s">
        <v>2893</v>
      </c>
      <c r="C24" s="267">
        <v>991309</v>
      </c>
      <c r="D24" s="268">
        <v>782396</v>
      </c>
      <c r="E24" s="268">
        <v>866782</v>
      </c>
      <c r="F24" s="268">
        <v>822556</v>
      </c>
      <c r="G24" s="268">
        <v>227598</v>
      </c>
      <c r="H24" s="268">
        <v>502862</v>
      </c>
      <c r="I24" s="268">
        <v>1135745</v>
      </c>
      <c r="J24" s="268">
        <v>208946</v>
      </c>
      <c r="K24" s="268">
        <v>426600</v>
      </c>
      <c r="L24" s="268">
        <v>439870</v>
      </c>
      <c r="M24" s="268">
        <v>557407</v>
      </c>
      <c r="N24" s="269">
        <v>674887</v>
      </c>
      <c r="O24" s="270">
        <f>SUM(C24:N24)</f>
        <v>7636958</v>
      </c>
    </row>
    <row r="25" spans="1:16">
      <c r="A25" s="252" t="s">
        <v>2895</v>
      </c>
      <c r="B25" s="254" t="s">
        <v>2896</v>
      </c>
      <c r="C25" s="271">
        <f t="shared" ref="C25:O25" si="2">C24/C23</f>
        <v>1.3160791737970789</v>
      </c>
      <c r="D25" s="271">
        <f t="shared" si="2"/>
        <v>0.6690582085327591</v>
      </c>
      <c r="E25" s="271">
        <f t="shared" si="2"/>
        <v>0.66352554641713257</v>
      </c>
      <c r="F25" s="271">
        <f t="shared" si="2"/>
        <v>0.40966576039994601</v>
      </c>
      <c r="G25" s="271">
        <f t="shared" si="2"/>
        <v>9.4825901697673534E-2</v>
      </c>
      <c r="H25" s="271">
        <f t="shared" si="2"/>
        <v>0.20955464709730923</v>
      </c>
      <c r="I25" s="271">
        <f t="shared" si="2"/>
        <v>0.47235480146662495</v>
      </c>
      <c r="J25" s="271">
        <f t="shared" si="2"/>
        <v>0.18162836707800042</v>
      </c>
      <c r="K25" s="271">
        <f t="shared" si="2"/>
        <v>0.30717984278094967</v>
      </c>
      <c r="L25" s="271">
        <f t="shared" si="2"/>
        <v>0.18086826801579448</v>
      </c>
      <c r="M25" s="271">
        <f t="shared" si="2"/>
        <v>0.24753511588352584</v>
      </c>
      <c r="N25" s="271">
        <f t="shared" si="2"/>
        <v>1.0997627373848315</v>
      </c>
      <c r="O25" s="272">
        <f t="shared" si="2"/>
        <v>0.37661762276386679</v>
      </c>
    </row>
    <row r="26" spans="1:16" ht="15.75" thickBot="1">
      <c r="A26" s="256" t="s">
        <v>2894</v>
      </c>
      <c r="B26" s="257" t="s">
        <v>2896</v>
      </c>
      <c r="C26" s="258">
        <v>100</v>
      </c>
      <c r="D26" s="258">
        <v>100</v>
      </c>
      <c r="E26" s="258">
        <v>100</v>
      </c>
      <c r="F26" s="258">
        <v>100</v>
      </c>
      <c r="G26" s="258">
        <v>100</v>
      </c>
      <c r="H26" s="258">
        <v>100</v>
      </c>
      <c r="I26" s="258">
        <v>100</v>
      </c>
      <c r="J26" s="258">
        <v>100</v>
      </c>
      <c r="K26" s="258">
        <v>100</v>
      </c>
      <c r="L26" s="258">
        <v>100</v>
      </c>
      <c r="M26" s="258">
        <v>100</v>
      </c>
      <c r="N26" s="259">
        <v>100</v>
      </c>
      <c r="O26" s="260">
        <v>100</v>
      </c>
    </row>
    <row r="27" spans="1:16" ht="15.75" thickBot="1"/>
    <row r="28" spans="1:16" ht="15.75" thickBot="1">
      <c r="A28" s="244" t="s">
        <v>697</v>
      </c>
      <c r="B28" s="245" t="s">
        <v>2890</v>
      </c>
      <c r="C28" s="246" t="s">
        <v>1471</v>
      </c>
      <c r="D28" s="247" t="s">
        <v>1472</v>
      </c>
      <c r="E28" s="247" t="s">
        <v>1473</v>
      </c>
      <c r="F28" s="247" t="s">
        <v>1474</v>
      </c>
      <c r="G28" s="247" t="s">
        <v>1475</v>
      </c>
      <c r="H28" s="247" t="s">
        <v>1476</v>
      </c>
      <c r="I28" s="247" t="s">
        <v>1477</v>
      </c>
      <c r="J28" s="247" t="s">
        <v>1478</v>
      </c>
      <c r="K28" s="247" t="s">
        <v>1479</v>
      </c>
      <c r="L28" s="247" t="s">
        <v>1480</v>
      </c>
      <c r="M28" s="247" t="s">
        <v>1481</v>
      </c>
      <c r="N28" s="248" t="s">
        <v>4522</v>
      </c>
      <c r="O28" s="245" t="s">
        <v>2891</v>
      </c>
    </row>
    <row r="29" spans="1:16">
      <c r="A29" s="249" t="s">
        <v>2892</v>
      </c>
      <c r="B29" s="261" t="s">
        <v>2893</v>
      </c>
      <c r="C29" s="262">
        <v>232053</v>
      </c>
      <c r="D29" s="263">
        <v>1128655</v>
      </c>
      <c r="E29" s="263">
        <v>463184</v>
      </c>
      <c r="F29" s="263">
        <v>1703027</v>
      </c>
      <c r="G29" s="263">
        <v>1562892</v>
      </c>
      <c r="H29" s="273">
        <v>1282322</v>
      </c>
      <c r="I29" s="263">
        <v>1508750</v>
      </c>
      <c r="J29" s="263">
        <v>1105152</v>
      </c>
      <c r="K29" s="263">
        <v>443968</v>
      </c>
      <c r="L29" s="263">
        <v>2031349</v>
      </c>
      <c r="M29" s="263">
        <v>822808</v>
      </c>
      <c r="N29" s="264">
        <v>604617</v>
      </c>
      <c r="O29" s="265">
        <f>SUM(C29:N29)</f>
        <v>12888777</v>
      </c>
    </row>
    <row r="30" spans="1:16">
      <c r="A30" s="252" t="s">
        <v>2894</v>
      </c>
      <c r="B30" s="266" t="s">
        <v>2893</v>
      </c>
      <c r="C30" s="267">
        <f>'п.п. 11 Б-4'!C39+'п.п. 11 Б-7'!D29</f>
        <v>1195397</v>
      </c>
      <c r="D30" s="267">
        <f>'п.п. 11 Б-4'!D39+'п.п. 11 Б-7'!E29</f>
        <v>657908</v>
      </c>
      <c r="E30" s="267">
        <f>'п.п. 11 Б-4'!E39+'п.п. 11 Б-7'!F29</f>
        <v>976266</v>
      </c>
      <c r="F30" s="267">
        <f>'п.п. 11 Б-4'!F39+'п.п. 11 Б-7'!G29</f>
        <v>525715</v>
      </c>
      <c r="G30" s="267">
        <f>'п.п. 11 Б-4'!G39+'п.п. 11 Б-7'!H29</f>
        <v>502662</v>
      </c>
      <c r="H30" s="267">
        <f>'п.п. 11 Б-4'!H39+'п.п. 11 Б-7'!I29</f>
        <v>647151</v>
      </c>
      <c r="I30" s="267">
        <f>'п.п. 11 Б-4'!I39+'п.п. 11 Б-7'!J29</f>
        <v>368723</v>
      </c>
      <c r="J30" s="267">
        <f>'п.п. 11 Б-4'!J39+'п.п. 11 Б-7'!K29</f>
        <v>344336</v>
      </c>
      <c r="K30" s="267">
        <f>'п.п. 11 Б-4'!K39+'п.п. 11 Б-7'!L29</f>
        <v>692441</v>
      </c>
      <c r="L30" s="267">
        <f>'п.п. 11 Б-4'!L39+'п.п. 11 Б-7'!M29</f>
        <v>443962</v>
      </c>
      <c r="M30" s="267">
        <f>'п.п. 11 Б-4'!M39+'п.п. 11 Б-7'!N29</f>
        <v>615907</v>
      </c>
      <c r="N30" s="267">
        <f>'п.п. 11 Б-4'!N39+'п.п. 11 Б-7'!O29</f>
        <v>977675</v>
      </c>
      <c r="O30" s="270">
        <f>SUM(C30:N30)</f>
        <v>7948143</v>
      </c>
      <c r="P30" s="242"/>
    </row>
    <row r="31" spans="1:16">
      <c r="A31" s="252" t="s">
        <v>2895</v>
      </c>
      <c r="B31" s="254" t="s">
        <v>2896</v>
      </c>
      <c r="C31" s="271">
        <f>C30/C29</f>
        <v>5.1513964482251895</v>
      </c>
      <c r="D31" s="271">
        <f t="shared" ref="D31:O31" si="3">D30/D29</f>
        <v>0.58291329059810126</v>
      </c>
      <c r="E31" s="271">
        <f t="shared" si="3"/>
        <v>2.107728246226122</v>
      </c>
      <c r="F31" s="271">
        <f t="shared" si="3"/>
        <v>0.30869445992341871</v>
      </c>
      <c r="G31" s="271">
        <f t="shared" si="3"/>
        <v>0.32162299122396171</v>
      </c>
      <c r="H31" s="271">
        <f>H30/H29</f>
        <v>0.50467121362653067</v>
      </c>
      <c r="I31" s="271">
        <f>I30/I29</f>
        <v>0.2443897265948633</v>
      </c>
      <c r="J31" s="271">
        <f t="shared" si="3"/>
        <v>0.31157343062311793</v>
      </c>
      <c r="K31" s="271">
        <f t="shared" si="3"/>
        <v>1.5596642100331555</v>
      </c>
      <c r="L31" s="271">
        <f t="shared" si="3"/>
        <v>0.21855525564538639</v>
      </c>
      <c r="M31" s="271">
        <f t="shared" si="3"/>
        <v>0.74854279491691866</v>
      </c>
      <c r="N31" s="271">
        <f t="shared" si="3"/>
        <v>1.617015399831629</v>
      </c>
      <c r="O31" s="272">
        <f t="shared" si="3"/>
        <v>0.61667162058898217</v>
      </c>
    </row>
    <row r="32" spans="1:16" ht="15.75" thickBot="1">
      <c r="A32" s="256" t="s">
        <v>2894</v>
      </c>
      <c r="B32" s="257" t="s">
        <v>2896</v>
      </c>
      <c r="C32" s="258">
        <v>100</v>
      </c>
      <c r="D32" s="258">
        <v>100</v>
      </c>
      <c r="E32" s="258">
        <v>100</v>
      </c>
      <c r="F32" s="258">
        <v>100</v>
      </c>
      <c r="G32" s="258">
        <v>100</v>
      </c>
      <c r="H32" s="258">
        <v>100</v>
      </c>
      <c r="I32" s="258">
        <v>100</v>
      </c>
      <c r="J32" s="258">
        <v>100</v>
      </c>
      <c r="K32" s="258">
        <v>100</v>
      </c>
      <c r="L32" s="258">
        <v>100</v>
      </c>
      <c r="M32" s="258">
        <v>100</v>
      </c>
      <c r="N32" s="259">
        <v>100</v>
      </c>
      <c r="O32" s="260">
        <v>100</v>
      </c>
    </row>
    <row r="33" spans="1:16" ht="15.75" thickBot="1"/>
    <row r="34" spans="1:16" ht="15.75" thickBot="1">
      <c r="A34" s="244" t="s">
        <v>702</v>
      </c>
      <c r="B34" s="245" t="s">
        <v>2890</v>
      </c>
      <c r="C34" s="246" t="s">
        <v>1471</v>
      </c>
      <c r="D34" s="247" t="s">
        <v>1472</v>
      </c>
      <c r="E34" s="247" t="s">
        <v>1473</v>
      </c>
      <c r="F34" s="247" t="s">
        <v>1474</v>
      </c>
      <c r="G34" s="247" t="s">
        <v>1475</v>
      </c>
      <c r="H34" s="247" t="s">
        <v>1476</v>
      </c>
      <c r="I34" s="247" t="s">
        <v>1477</v>
      </c>
      <c r="J34" s="247" t="s">
        <v>1478</v>
      </c>
      <c r="K34" s="247" t="s">
        <v>1479</v>
      </c>
      <c r="L34" s="247" t="s">
        <v>1480</v>
      </c>
      <c r="M34" s="247" t="s">
        <v>1481</v>
      </c>
      <c r="N34" s="248" t="s">
        <v>4522</v>
      </c>
      <c r="O34" s="245" t="s">
        <v>2891</v>
      </c>
    </row>
    <row r="35" spans="1:16">
      <c r="A35" s="249" t="s">
        <v>2892</v>
      </c>
      <c r="B35" s="261" t="s">
        <v>2893</v>
      </c>
      <c r="C35" s="262">
        <v>9147</v>
      </c>
      <c r="D35" s="263">
        <v>243812</v>
      </c>
      <c r="E35" s="263">
        <v>488198</v>
      </c>
      <c r="F35" s="263">
        <v>2074614</v>
      </c>
      <c r="G35" s="263">
        <v>1630592</v>
      </c>
      <c r="H35" s="273">
        <v>1504553</v>
      </c>
      <c r="I35" s="263">
        <v>1717599</v>
      </c>
      <c r="J35" s="263">
        <v>762944</v>
      </c>
      <c r="K35" s="263">
        <v>737949</v>
      </c>
      <c r="L35" s="263">
        <v>1577608</v>
      </c>
      <c r="M35" s="263">
        <v>128281</v>
      </c>
      <c r="N35" s="264">
        <v>90041</v>
      </c>
      <c r="O35" s="265">
        <f>SUM(C35:N35)</f>
        <v>10965338</v>
      </c>
    </row>
    <row r="36" spans="1:16">
      <c r="A36" s="252" t="s">
        <v>2894</v>
      </c>
      <c r="B36" s="266" t="s">
        <v>2893</v>
      </c>
      <c r="C36" s="267">
        <f>932569+43935</f>
        <v>976504</v>
      </c>
      <c r="D36" s="268">
        <f>782719+39062</f>
        <v>821781</v>
      </c>
      <c r="E36" s="268">
        <f>1323344+44565</f>
        <v>1367909</v>
      </c>
      <c r="F36" s="268">
        <f>16258+36003</f>
        <v>52261</v>
      </c>
      <c r="G36" s="268">
        <f>306151+33483</f>
        <v>339634</v>
      </c>
      <c r="H36" s="274">
        <f>435471+32046</f>
        <v>467517</v>
      </c>
      <c r="I36" s="268">
        <f>514250+37573</f>
        <v>551823</v>
      </c>
      <c r="J36" s="275">
        <f>535687+34674</f>
        <v>570361</v>
      </c>
      <c r="K36" s="275">
        <f>615545+31238</f>
        <v>646783</v>
      </c>
      <c r="L36" s="275">
        <f>627963+44732</f>
        <v>672695</v>
      </c>
      <c r="M36" s="268">
        <f>988479+38856</f>
        <v>1027335</v>
      </c>
      <c r="N36" s="269">
        <f>636323+43858</f>
        <v>680181</v>
      </c>
      <c r="O36" s="270">
        <f>SUM(C36:N36)</f>
        <v>8174784</v>
      </c>
      <c r="P36" s="276"/>
    </row>
    <row r="37" spans="1:16">
      <c r="A37" s="252" t="s">
        <v>2895</v>
      </c>
      <c r="B37" s="254" t="s">
        <v>2896</v>
      </c>
      <c r="C37" s="271">
        <f>C36/C35</f>
        <v>106.75675084727233</v>
      </c>
      <c r="D37" s="271">
        <f t="shared" ref="D37:N37" si="4">D36/D35</f>
        <v>3.3705519006447591</v>
      </c>
      <c r="E37" s="271">
        <f t="shared" si="4"/>
        <v>2.8019553541800661</v>
      </c>
      <c r="F37" s="271">
        <f t="shared" si="4"/>
        <v>2.5190710175483248E-2</v>
      </c>
      <c r="G37" s="271">
        <f t="shared" si="4"/>
        <v>0.20828876874165947</v>
      </c>
      <c r="H37" s="271">
        <f t="shared" si="4"/>
        <v>0.31073481625439581</v>
      </c>
      <c r="I37" s="271">
        <f t="shared" si="4"/>
        <v>0.32127580418945284</v>
      </c>
      <c r="J37" s="271">
        <f t="shared" si="4"/>
        <v>0.74757911458770232</v>
      </c>
      <c r="K37" s="271">
        <f>K36/K35</f>
        <v>0.87646029739182518</v>
      </c>
      <c r="L37" s="271">
        <f t="shared" si="4"/>
        <v>0.42640186915887851</v>
      </c>
      <c r="M37" s="271">
        <f t="shared" si="4"/>
        <v>8.0084735853322009</v>
      </c>
      <c r="N37" s="271">
        <f t="shared" si="4"/>
        <v>7.5541253428993462</v>
      </c>
      <c r="O37" s="272">
        <f>O36/O35</f>
        <v>0.7455113558743014</v>
      </c>
    </row>
    <row r="38" spans="1:16" ht="15.75" thickBot="1">
      <c r="A38" s="256" t="s">
        <v>2894</v>
      </c>
      <c r="B38" s="257" t="s">
        <v>2896</v>
      </c>
      <c r="C38" s="258">
        <v>100</v>
      </c>
      <c r="D38" s="258">
        <v>100</v>
      </c>
      <c r="E38" s="258">
        <v>100</v>
      </c>
      <c r="F38" s="258">
        <v>100</v>
      </c>
      <c r="G38" s="258">
        <v>100</v>
      </c>
      <c r="H38" s="258">
        <v>100</v>
      </c>
      <c r="I38" s="258">
        <v>100</v>
      </c>
      <c r="J38" s="258">
        <v>100</v>
      </c>
      <c r="K38" s="258">
        <v>100</v>
      </c>
      <c r="L38" s="258">
        <v>100</v>
      </c>
      <c r="M38" s="258">
        <v>100</v>
      </c>
      <c r="N38" s="259">
        <v>100</v>
      </c>
      <c r="O38" s="260">
        <v>100</v>
      </c>
    </row>
    <row r="39" spans="1:16" ht="15.75" thickBot="1"/>
    <row r="40" spans="1:16" ht="15.75" thickBot="1">
      <c r="A40" s="244" t="s">
        <v>709</v>
      </c>
      <c r="B40" s="245" t="s">
        <v>2890</v>
      </c>
      <c r="C40" s="246" t="s">
        <v>1471</v>
      </c>
      <c r="D40" s="247" t="s">
        <v>1472</v>
      </c>
      <c r="E40" s="247" t="s">
        <v>1473</v>
      </c>
      <c r="F40" s="247" t="s">
        <v>1474</v>
      </c>
      <c r="G40" s="247" t="s">
        <v>1475</v>
      </c>
      <c r="H40" s="247" t="s">
        <v>1476</v>
      </c>
      <c r="I40" s="247" t="s">
        <v>1477</v>
      </c>
      <c r="J40" s="247" t="s">
        <v>1478</v>
      </c>
      <c r="K40" s="247" t="s">
        <v>1479</v>
      </c>
      <c r="L40" s="247" t="s">
        <v>1480</v>
      </c>
      <c r="M40" s="247" t="s">
        <v>1481</v>
      </c>
      <c r="N40" s="248" t="s">
        <v>4522</v>
      </c>
      <c r="O40" s="245" t="s">
        <v>2891</v>
      </c>
    </row>
    <row r="41" spans="1:16">
      <c r="A41" s="249" t="s">
        <v>2892</v>
      </c>
      <c r="B41" s="261" t="s">
        <v>2893</v>
      </c>
      <c r="C41" s="262">
        <v>215</v>
      </c>
      <c r="D41" s="263">
        <v>495264</v>
      </c>
      <c r="E41" s="263">
        <v>676115</v>
      </c>
      <c r="F41" s="263">
        <v>1666406</v>
      </c>
      <c r="G41" s="263">
        <v>1762681</v>
      </c>
      <c r="H41" s="277">
        <v>1658883</v>
      </c>
      <c r="I41" s="278">
        <v>1900167</v>
      </c>
      <c r="J41" s="278">
        <v>1287912</v>
      </c>
      <c r="K41" s="278">
        <v>589857</v>
      </c>
      <c r="L41" s="278">
        <v>1792790</v>
      </c>
      <c r="M41" s="278">
        <v>38422</v>
      </c>
      <c r="N41" s="279">
        <v>0</v>
      </c>
      <c r="O41" s="265">
        <f>SUM(C41:N41)</f>
        <v>11868712</v>
      </c>
    </row>
    <row r="42" spans="1:16">
      <c r="A42" s="252" t="s">
        <v>2894</v>
      </c>
      <c r="B42" s="266" t="s">
        <v>2893</v>
      </c>
      <c r="C42" s="267">
        <f>'п.п. 11 Б-4'!C51+'п.п. 11 Б-7'!D41</f>
        <v>934987</v>
      </c>
      <c r="D42" s="267">
        <f>'п.п. 11 Б-4'!D51+'п.п. 11 Б-7'!E41</f>
        <v>661509</v>
      </c>
      <c r="E42" s="267">
        <f>'п.п. 11 Б-4'!E51+'п.п. 11 Б-7'!F41</f>
        <v>802491</v>
      </c>
      <c r="F42" s="267">
        <f>'п.п. 11 Б-4'!F51+'п.п. 11 Б-7'!G41</f>
        <v>374235</v>
      </c>
      <c r="G42" s="267">
        <f>'п.п. 11 Б-4'!G51+'п.п. 11 Б-7'!H41</f>
        <v>796057</v>
      </c>
      <c r="H42" s="267">
        <f>'п.п. 11 Б-4'!H51+'п.п. 11 Б-7'!I41</f>
        <v>182742</v>
      </c>
      <c r="I42" s="267">
        <f>'п.п. 11 Б-4'!I51+'п.п. 11 Б-7'!J41</f>
        <v>397956</v>
      </c>
      <c r="J42" s="267">
        <f>'п.п. 11 Б-4'!J51+'п.п. 11 Б-7'!K41</f>
        <v>475857</v>
      </c>
      <c r="K42" s="267">
        <f>'п.п. 11 Б-4'!K51+'п.п. 11 Б-7'!L41</f>
        <v>72579</v>
      </c>
      <c r="L42" s="267">
        <f>'п.п. 11 Б-4'!L51+'п.п. 11 Б-7'!M41</f>
        <v>637915</v>
      </c>
      <c r="M42" s="267">
        <f>'п.п. 11 Б-4'!M51+'п.п. 11 Б-7'!N41</f>
        <v>944056</v>
      </c>
      <c r="N42" s="267">
        <f>'п.п. 11 Б-4'!N51+'п.п. 11 Б-7'!O41</f>
        <v>64087</v>
      </c>
      <c r="O42" s="270">
        <f>SUM(C42:N42)</f>
        <v>6344471</v>
      </c>
    </row>
    <row r="43" spans="1:16">
      <c r="A43" s="252" t="s">
        <v>2895</v>
      </c>
      <c r="B43" s="254" t="s">
        <v>2896</v>
      </c>
      <c r="C43" s="271">
        <f t="shared" ref="C43:M43" si="5">C42/C41</f>
        <v>4348.7767441860469</v>
      </c>
      <c r="D43" s="271">
        <f t="shared" si="5"/>
        <v>1.335669461135879</v>
      </c>
      <c r="E43" s="271">
        <f t="shared" si="5"/>
        <v>1.1869149479008749</v>
      </c>
      <c r="F43" s="271">
        <f t="shared" si="5"/>
        <v>0.22457612370574759</v>
      </c>
      <c r="G43" s="271">
        <f t="shared" si="5"/>
        <v>0.45161716725828438</v>
      </c>
      <c r="H43" s="271">
        <f t="shared" si="5"/>
        <v>0.11015966767999913</v>
      </c>
      <c r="I43" s="271">
        <f t="shared" si="5"/>
        <v>0.20943211833486214</v>
      </c>
      <c r="J43" s="271">
        <f>J42/J41</f>
        <v>0.369479436483238</v>
      </c>
      <c r="K43" s="271">
        <f t="shared" si="5"/>
        <v>0.12304507702714387</v>
      </c>
      <c r="L43" s="271">
        <f t="shared" si="5"/>
        <v>0.35582248896970642</v>
      </c>
      <c r="M43" s="271">
        <f t="shared" si="5"/>
        <v>24.570714694706158</v>
      </c>
      <c r="N43" s="271">
        <v>0</v>
      </c>
      <c r="O43" s="272">
        <f>O42/O41</f>
        <v>0.53455429704587998</v>
      </c>
    </row>
    <row r="44" spans="1:16" ht="15.75" thickBot="1">
      <c r="A44" s="256" t="s">
        <v>2894</v>
      </c>
      <c r="B44" s="257" t="s">
        <v>2896</v>
      </c>
      <c r="C44" s="258">
        <v>100</v>
      </c>
      <c r="D44" s="258">
        <v>100</v>
      </c>
      <c r="E44" s="258">
        <v>100</v>
      </c>
      <c r="F44" s="258">
        <v>100</v>
      </c>
      <c r="G44" s="258">
        <v>100</v>
      </c>
      <c r="H44" s="258">
        <v>100</v>
      </c>
      <c r="I44" s="258">
        <v>100</v>
      </c>
      <c r="J44" s="258">
        <v>100</v>
      </c>
      <c r="K44" s="258">
        <v>100</v>
      </c>
      <c r="L44" s="258">
        <v>100</v>
      </c>
      <c r="M44" s="258">
        <v>100</v>
      </c>
      <c r="N44" s="259">
        <v>100</v>
      </c>
      <c r="O44" s="260">
        <v>100</v>
      </c>
    </row>
    <row r="45" spans="1:16" ht="15.75" thickBot="1"/>
    <row r="46" spans="1:16" ht="15.75" thickBot="1">
      <c r="A46" s="244" t="s">
        <v>712</v>
      </c>
      <c r="B46" s="245" t="s">
        <v>2890</v>
      </c>
      <c r="C46" s="246" t="s">
        <v>1471</v>
      </c>
      <c r="D46" s="247" t="s">
        <v>1472</v>
      </c>
      <c r="E46" s="247" t="s">
        <v>1473</v>
      </c>
      <c r="F46" s="247" t="s">
        <v>1474</v>
      </c>
      <c r="G46" s="247" t="s">
        <v>1475</v>
      </c>
      <c r="H46" s="247" t="s">
        <v>1476</v>
      </c>
      <c r="I46" s="247" t="s">
        <v>1477</v>
      </c>
      <c r="J46" s="247" t="s">
        <v>1478</v>
      </c>
      <c r="K46" s="247" t="s">
        <v>1479</v>
      </c>
      <c r="L46" s="247" t="s">
        <v>1480</v>
      </c>
      <c r="M46" s="247" t="s">
        <v>1481</v>
      </c>
      <c r="N46" s="248" t="s">
        <v>4522</v>
      </c>
      <c r="O46" s="245" t="s">
        <v>2891</v>
      </c>
    </row>
    <row r="47" spans="1:16">
      <c r="A47" s="249" t="s">
        <v>2892</v>
      </c>
      <c r="B47" s="261" t="s">
        <v>2893</v>
      </c>
      <c r="C47" s="280">
        <v>0</v>
      </c>
      <c r="D47" s="281">
        <v>122675</v>
      </c>
      <c r="E47" s="281">
        <v>798897</v>
      </c>
      <c r="F47" s="281">
        <v>1229471</v>
      </c>
      <c r="G47" s="281">
        <v>1732927</v>
      </c>
      <c r="H47" s="282">
        <v>863823</v>
      </c>
      <c r="I47" s="283">
        <v>2027545</v>
      </c>
      <c r="J47" s="283">
        <v>1369184</v>
      </c>
      <c r="K47" s="283">
        <v>443922</v>
      </c>
      <c r="L47" s="283">
        <v>1795090</v>
      </c>
      <c r="M47" s="283">
        <v>756437</v>
      </c>
      <c r="N47" s="284">
        <v>13206</v>
      </c>
      <c r="O47" s="285">
        <f>SUM(C47:N47)</f>
        <v>11153177</v>
      </c>
    </row>
    <row r="48" spans="1:16">
      <c r="A48" s="252" t="s">
        <v>2894</v>
      </c>
      <c r="B48" s="266" t="s">
        <v>2893</v>
      </c>
      <c r="C48" s="286">
        <f>'п.п. 11 Б-4'!C57+'п.п. 11 Б-7'!D47</f>
        <v>528644</v>
      </c>
      <c r="D48" s="286">
        <f>'п.п. 11 Б-4'!D57+'п.п. 11 Б-7'!E47</f>
        <v>524054</v>
      </c>
      <c r="E48" s="286">
        <f>'п.п. 11 Б-4'!E57+'п.п. 11 Б-7'!F47</f>
        <v>545630</v>
      </c>
      <c r="F48" s="286">
        <f>'п.п. 11 Б-4'!F57+'п.п. 11 Б-7'!G47</f>
        <v>405156</v>
      </c>
      <c r="G48" s="286">
        <f>'п.п. 11 Б-4'!G57+'п.п. 11 Б-7'!H47</f>
        <v>1004485</v>
      </c>
      <c r="H48" s="286">
        <f>'п.п. 11 Б-4'!H57+'п.п. 11 Б-7'!I47</f>
        <v>584278</v>
      </c>
      <c r="I48" s="286">
        <f>'п.п. 11 Б-4'!I57+'п.п. 11 Б-7'!J47</f>
        <v>137216</v>
      </c>
      <c r="J48" s="286">
        <f>'п.п. 11 Б-4'!J57+'п.п. 11 Б-7'!K47</f>
        <v>255473</v>
      </c>
      <c r="K48" s="286">
        <f>'п.п. 11 Б-4'!K57+'п.п. 11 Б-7'!L47</f>
        <v>339408</v>
      </c>
      <c r="L48" s="287">
        <f>'п.п. 11 Б-4'!L57+'п.п. 11 Б-7'!M47</f>
        <v>1074142</v>
      </c>
      <c r="M48" s="288">
        <f>'п.п. 11 Б-4'!M57+'п.п. 11 Б-7'!N47</f>
        <v>853778</v>
      </c>
      <c r="N48" s="289">
        <f>'п.п. 11 Б-4'!N57+'п.п. 11 Б-7'!O47</f>
        <v>695001</v>
      </c>
      <c r="O48" s="290">
        <f>SUM(C48:N48)</f>
        <v>6947265</v>
      </c>
    </row>
    <row r="49" spans="1:15">
      <c r="A49" s="252" t="s">
        <v>2895</v>
      </c>
      <c r="B49" s="254" t="s">
        <v>2896</v>
      </c>
      <c r="C49" s="271">
        <v>0</v>
      </c>
      <c r="D49" s="271">
        <f t="shared" ref="D49:O49" si="6">D48/D47</f>
        <v>4.2718891379661708</v>
      </c>
      <c r="E49" s="271">
        <f t="shared" si="6"/>
        <v>0.68297915751342164</v>
      </c>
      <c r="F49" s="271">
        <f t="shared" si="6"/>
        <v>0.32953684958815621</v>
      </c>
      <c r="G49" s="271">
        <f t="shared" si="6"/>
        <v>0.57964645942962401</v>
      </c>
      <c r="H49" s="271">
        <f t="shared" si="6"/>
        <v>0.67638625042398737</v>
      </c>
      <c r="I49" s="271">
        <f t="shared" si="6"/>
        <v>6.7675933209867103E-2</v>
      </c>
      <c r="J49" s="271">
        <f t="shared" si="6"/>
        <v>0.18658777782971464</v>
      </c>
      <c r="K49" s="271">
        <f t="shared" si="6"/>
        <v>0.76456674821252379</v>
      </c>
      <c r="L49" s="271">
        <f t="shared" si="6"/>
        <v>0.59837779721351014</v>
      </c>
      <c r="M49" s="271">
        <f t="shared" si="6"/>
        <v>1.1286835519679761</v>
      </c>
      <c r="N49" s="271">
        <v>0</v>
      </c>
      <c r="O49" s="272">
        <f t="shared" si="6"/>
        <v>0.62289561082012779</v>
      </c>
    </row>
    <row r="50" spans="1:15" ht="15.75" thickBot="1">
      <c r="A50" s="256" t="s">
        <v>2894</v>
      </c>
      <c r="B50" s="257" t="s">
        <v>2896</v>
      </c>
      <c r="C50" s="258">
        <v>100</v>
      </c>
      <c r="D50" s="258">
        <v>100</v>
      </c>
      <c r="E50" s="258">
        <v>100</v>
      </c>
      <c r="F50" s="258">
        <v>100</v>
      </c>
      <c r="G50" s="258">
        <v>100</v>
      </c>
      <c r="H50" s="258">
        <v>100</v>
      </c>
      <c r="I50" s="258">
        <v>100</v>
      </c>
      <c r="J50" s="258">
        <v>100</v>
      </c>
      <c r="K50" s="258">
        <v>100</v>
      </c>
      <c r="L50" s="258">
        <v>100</v>
      </c>
      <c r="M50" s="258">
        <v>100</v>
      </c>
      <c r="N50" s="259">
        <v>100</v>
      </c>
      <c r="O50" s="260">
        <v>100</v>
      </c>
    </row>
    <row r="51" spans="1:15" ht="15.75" thickBot="1"/>
    <row r="52" spans="1:15" ht="15.75" thickBot="1">
      <c r="A52" s="244" t="s">
        <v>1489</v>
      </c>
      <c r="B52" s="245" t="s">
        <v>2890</v>
      </c>
      <c r="C52" s="246" t="s">
        <v>1471</v>
      </c>
      <c r="D52" s="247" t="s">
        <v>1472</v>
      </c>
      <c r="E52" s="247" t="s">
        <v>1473</v>
      </c>
      <c r="F52" s="247" t="s">
        <v>1474</v>
      </c>
      <c r="G52" s="247" t="s">
        <v>1475</v>
      </c>
      <c r="H52" s="247" t="s">
        <v>1476</v>
      </c>
      <c r="I52" s="247" t="s">
        <v>1477</v>
      </c>
      <c r="J52" s="247" t="s">
        <v>1478</v>
      </c>
      <c r="K52" s="247" t="s">
        <v>1479</v>
      </c>
      <c r="L52" s="247" t="s">
        <v>1480</v>
      </c>
      <c r="M52" s="247" t="s">
        <v>1481</v>
      </c>
      <c r="N52" s="248" t="s">
        <v>4522</v>
      </c>
      <c r="O52" s="245" t="s">
        <v>2891</v>
      </c>
    </row>
    <row r="53" spans="1:15">
      <c r="A53" s="249" t="s">
        <v>2892</v>
      </c>
      <c r="B53" s="261" t="s">
        <v>2893</v>
      </c>
      <c r="C53" s="280">
        <f>22982</f>
        <v>22982</v>
      </c>
      <c r="D53" s="281">
        <v>600306</v>
      </c>
      <c r="E53" s="281">
        <v>1121797</v>
      </c>
      <c r="F53" s="281">
        <f>1732408</f>
        <v>1732408</v>
      </c>
      <c r="G53" s="281">
        <f>2045585</f>
        <v>2045585</v>
      </c>
      <c r="H53" s="282">
        <f>2150355</f>
        <v>2150355</v>
      </c>
      <c r="I53" s="283">
        <v>2202819</v>
      </c>
      <c r="J53" s="283">
        <v>2006783</v>
      </c>
      <c r="K53" s="283">
        <v>227828</v>
      </c>
      <c r="L53" s="283">
        <v>1984867</v>
      </c>
      <c r="M53" s="283">
        <v>1243909</v>
      </c>
      <c r="N53" s="284">
        <v>306</v>
      </c>
      <c r="O53" s="285">
        <f>SUM(C53:N53)</f>
        <v>15339945</v>
      </c>
    </row>
    <row r="54" spans="1:15">
      <c r="A54" s="249" t="s">
        <v>2906</v>
      </c>
      <c r="B54" s="261" t="s">
        <v>2893</v>
      </c>
      <c r="C54" s="280">
        <f>176815+2082</f>
        <v>178897</v>
      </c>
      <c r="D54" s="280">
        <v>153056</v>
      </c>
      <c r="E54" s="280">
        <v>0</v>
      </c>
      <c r="F54" s="281">
        <f>167035</f>
        <v>167035</v>
      </c>
      <c r="G54" s="281">
        <f>160723</f>
        <v>160723</v>
      </c>
      <c r="H54" s="282">
        <f>167977</f>
        <v>167977</v>
      </c>
      <c r="I54" s="291">
        <v>171736</v>
      </c>
      <c r="J54" s="291">
        <v>214312</v>
      </c>
      <c r="K54" s="291">
        <v>44584</v>
      </c>
      <c r="L54" s="283">
        <v>153191</v>
      </c>
      <c r="M54" s="283">
        <v>175543</v>
      </c>
      <c r="N54" s="284">
        <v>0</v>
      </c>
      <c r="O54" s="285">
        <f>SUM(C54:N54)</f>
        <v>1587054</v>
      </c>
    </row>
    <row r="55" spans="1:15">
      <c r="A55" s="252" t="s">
        <v>2894</v>
      </c>
      <c r="B55" s="266" t="s">
        <v>2893</v>
      </c>
      <c r="C55" s="286">
        <f>'п.п. 11 Б-7'!D54</f>
        <v>905153</v>
      </c>
      <c r="D55" s="286">
        <f>'п.п. 11 Б-7'!E54</f>
        <v>131942</v>
      </c>
      <c r="E55" s="286">
        <v>439870</v>
      </c>
      <c r="F55" s="286">
        <f>33499+706865</f>
        <v>740364</v>
      </c>
      <c r="G55" s="286">
        <f>71819+28686</f>
        <v>100505</v>
      </c>
      <c r="H55" s="286">
        <f>31081+294215</f>
        <v>325296</v>
      </c>
      <c r="I55" s="286">
        <f>666884+27892</f>
        <v>694776</v>
      </c>
      <c r="J55" s="286">
        <v>185440</v>
      </c>
      <c r="K55" s="286">
        <v>641232</v>
      </c>
      <c r="L55" s="287">
        <v>990259</v>
      </c>
      <c r="M55" s="288">
        <f>29827+927936</f>
        <v>957763</v>
      </c>
      <c r="N55" s="289">
        <v>906342</v>
      </c>
      <c r="O55" s="290">
        <f>SUM(C55:N55)</f>
        <v>7018942</v>
      </c>
    </row>
    <row r="56" spans="1:15">
      <c r="A56" s="252" t="s">
        <v>2895</v>
      </c>
      <c r="B56" s="254" t="s">
        <v>2896</v>
      </c>
      <c r="C56" s="272">
        <f t="shared" ref="C56:M56" si="7">C55/(C53+C54)</f>
        <v>4.4836411910104568</v>
      </c>
      <c r="D56" s="272">
        <f t="shared" si="7"/>
        <v>0.17513758326010603</v>
      </c>
      <c r="E56" s="272">
        <f t="shared" si="7"/>
        <v>0.39211194182191611</v>
      </c>
      <c r="F56" s="272">
        <f t="shared" si="7"/>
        <v>0.38977953010435162</v>
      </c>
      <c r="G56" s="272">
        <f t="shared" si="7"/>
        <v>4.5553476667808845E-2</v>
      </c>
      <c r="H56" s="272">
        <f t="shared" si="7"/>
        <v>0.14031467451598822</v>
      </c>
      <c r="I56" s="272">
        <f t="shared" si="7"/>
        <v>0.29259208567500017</v>
      </c>
      <c r="J56" s="272">
        <f>J55/(J53+J54)</f>
        <v>8.3490350480281125E-2</v>
      </c>
      <c r="K56" s="272">
        <f>K55/(K53+K54)</f>
        <v>2.3539051143121448</v>
      </c>
      <c r="L56" s="272">
        <f t="shared" si="7"/>
        <v>0.46315815567210994</v>
      </c>
      <c r="M56" s="272">
        <f t="shared" si="7"/>
        <v>0.67474137906741471</v>
      </c>
      <c r="N56" s="272">
        <v>0</v>
      </c>
      <c r="O56" s="272">
        <f>O55/(O53+O54)</f>
        <v>0.41465956251311886</v>
      </c>
    </row>
    <row r="57" spans="1:15" ht="15.75" thickBot="1">
      <c r="A57" s="256" t="s">
        <v>2894</v>
      </c>
      <c r="B57" s="257" t="s">
        <v>2896</v>
      </c>
      <c r="C57" s="258">
        <v>100</v>
      </c>
      <c r="D57" s="258">
        <v>100</v>
      </c>
      <c r="E57" s="258">
        <v>100</v>
      </c>
      <c r="F57" s="258">
        <v>100</v>
      </c>
      <c r="G57" s="258">
        <v>100</v>
      </c>
      <c r="H57" s="258">
        <v>100</v>
      </c>
      <c r="I57" s="258">
        <v>100</v>
      </c>
      <c r="J57" s="258">
        <v>100</v>
      </c>
      <c r="K57" s="258">
        <v>100</v>
      </c>
      <c r="L57" s="258">
        <v>100</v>
      </c>
      <c r="M57" s="258">
        <v>100</v>
      </c>
      <c r="N57" s="259">
        <v>100</v>
      </c>
      <c r="O57" s="260">
        <v>100</v>
      </c>
    </row>
    <row r="58" spans="1:15" ht="15.75" thickBot="1">
      <c r="A58" s="244" t="s">
        <v>2907</v>
      </c>
      <c r="B58" s="245" t="s">
        <v>2890</v>
      </c>
      <c r="C58" s="246" t="s">
        <v>1471</v>
      </c>
      <c r="D58" s="247" t="s">
        <v>1472</v>
      </c>
      <c r="E58" s="247" t="s">
        <v>1473</v>
      </c>
      <c r="F58" s="247" t="s">
        <v>1474</v>
      </c>
      <c r="G58" s="247" t="s">
        <v>1475</v>
      </c>
      <c r="H58" s="247" t="s">
        <v>1476</v>
      </c>
      <c r="I58" s="247" t="s">
        <v>1477</v>
      </c>
      <c r="J58" s="247" t="s">
        <v>1478</v>
      </c>
      <c r="K58" s="247" t="s">
        <v>1479</v>
      </c>
      <c r="L58" s="247" t="s">
        <v>1480</v>
      </c>
      <c r="M58" s="247" t="s">
        <v>1481</v>
      </c>
      <c r="N58" s="248" t="s">
        <v>4522</v>
      </c>
      <c r="O58" s="245" t="s">
        <v>2891</v>
      </c>
    </row>
    <row r="59" spans="1:15">
      <c r="A59" s="249" t="s">
        <v>2892</v>
      </c>
      <c r="B59" s="261" t="s">
        <v>2893</v>
      </c>
      <c r="C59" s="280">
        <v>0</v>
      </c>
      <c r="D59" s="281">
        <v>0</v>
      </c>
      <c r="E59" s="281">
        <v>1562981</v>
      </c>
      <c r="F59" s="281">
        <v>1814531</v>
      </c>
      <c r="G59" s="281">
        <v>1363488</v>
      </c>
      <c r="H59" s="282">
        <v>1405017</v>
      </c>
      <c r="I59" s="283">
        <v>1496072</v>
      </c>
      <c r="J59" s="283">
        <v>1312836</v>
      </c>
      <c r="K59" s="283">
        <v>387557</v>
      </c>
      <c r="L59" s="283">
        <v>1393782</v>
      </c>
      <c r="M59" s="283">
        <v>1054713</v>
      </c>
      <c r="N59" s="284">
        <f>408364</f>
        <v>408364</v>
      </c>
      <c r="O59" s="285">
        <f>SUM(C59:N59)</f>
        <v>12199341</v>
      </c>
    </row>
    <row r="60" spans="1:15">
      <c r="A60" s="249" t="s">
        <v>2906</v>
      </c>
      <c r="B60" s="261" t="s">
        <v>2893</v>
      </c>
      <c r="C60" s="280">
        <v>57</v>
      </c>
      <c r="D60" s="280">
        <v>626</v>
      </c>
      <c r="E60" s="280">
        <v>204574</v>
      </c>
      <c r="F60" s="281">
        <v>197621</v>
      </c>
      <c r="G60" s="281">
        <v>199844</v>
      </c>
      <c r="H60" s="282">
        <v>149290</v>
      </c>
      <c r="I60" s="291">
        <v>152333</v>
      </c>
      <c r="J60" s="291">
        <v>163918</v>
      </c>
      <c r="K60" s="291">
        <v>34583</v>
      </c>
      <c r="L60" s="283">
        <v>155239</v>
      </c>
      <c r="M60" s="283">
        <v>169989</v>
      </c>
      <c r="N60" s="284">
        <v>164260</v>
      </c>
      <c r="O60" s="285">
        <f>SUM(C60:N60)</f>
        <v>1592334</v>
      </c>
    </row>
    <row r="61" spans="1:15">
      <c r="A61" s="252" t="s">
        <v>2894</v>
      </c>
      <c r="B61" s="266" t="s">
        <v>2893</v>
      </c>
      <c r="C61" s="286">
        <f>53275+642881</f>
        <v>696156</v>
      </c>
      <c r="D61" s="286">
        <v>659029</v>
      </c>
      <c r="E61" s="286">
        <v>978215</v>
      </c>
      <c r="F61" s="286">
        <v>1027759</v>
      </c>
      <c r="G61" s="286">
        <v>277998</v>
      </c>
      <c r="H61" s="286">
        <f>672253+30940</f>
        <v>703193</v>
      </c>
      <c r="I61" s="286">
        <f>1025799+28872</f>
        <v>1054671</v>
      </c>
      <c r="J61" s="286">
        <f>408933+39008</f>
        <v>447941</v>
      </c>
      <c r="K61" s="286">
        <f>509298+32817</f>
        <v>542115</v>
      </c>
      <c r="L61" s="287">
        <f>36895+1208417</f>
        <v>1245312</v>
      </c>
      <c r="M61" s="288">
        <f>35995+1061277</f>
        <v>1097272</v>
      </c>
      <c r="N61" s="289">
        <f>42586+1257121</f>
        <v>1299707</v>
      </c>
      <c r="O61" s="290">
        <f>SUM(C61:N61)</f>
        <v>10029368</v>
      </c>
    </row>
    <row r="62" spans="1:15">
      <c r="A62" s="252" t="s">
        <v>2895</v>
      </c>
      <c r="B62" s="254" t="s">
        <v>2896</v>
      </c>
      <c r="C62" s="272">
        <f t="shared" ref="C62:N62" si="8">C61/(C59+C60)</f>
        <v>12213.263157894737</v>
      </c>
      <c r="D62" s="272">
        <f t="shared" si="8"/>
        <v>1052.7619808306708</v>
      </c>
      <c r="E62" s="272">
        <f t="shared" si="8"/>
        <v>0.55342832330535685</v>
      </c>
      <c r="F62" s="272">
        <f t="shared" si="8"/>
        <v>0.51077602487287244</v>
      </c>
      <c r="G62" s="272">
        <f t="shared" si="8"/>
        <v>0.17782403225930257</v>
      </c>
      <c r="H62" s="272">
        <f t="shared" si="8"/>
        <v>0.45241577114431064</v>
      </c>
      <c r="I62" s="272">
        <f t="shared" si="8"/>
        <v>0.63981303138488421</v>
      </c>
      <c r="J62" s="272">
        <f t="shared" si="8"/>
        <v>0.30332811016594502</v>
      </c>
      <c r="K62" s="272">
        <f t="shared" si="8"/>
        <v>1.2842066612972001</v>
      </c>
      <c r="L62" s="272">
        <f t="shared" si="8"/>
        <v>0.8039348724129628</v>
      </c>
      <c r="M62" s="272">
        <f t="shared" si="8"/>
        <v>0.89595019849726709</v>
      </c>
      <c r="N62" s="272">
        <f t="shared" si="8"/>
        <v>2.2697389561038306</v>
      </c>
      <c r="O62" s="272">
        <f>O61/(O59+O60)</f>
        <v>0.7272044911151111</v>
      </c>
    </row>
    <row r="63" spans="1:15" ht="15.75" thickBot="1">
      <c r="A63" s="256" t="s">
        <v>2894</v>
      </c>
      <c r="B63" s="257" t="s">
        <v>2896</v>
      </c>
      <c r="C63" s="258">
        <v>100</v>
      </c>
      <c r="D63" s="258">
        <v>100</v>
      </c>
      <c r="E63" s="258">
        <v>100</v>
      </c>
      <c r="F63" s="258">
        <v>100</v>
      </c>
      <c r="G63" s="258">
        <v>100</v>
      </c>
      <c r="H63" s="258">
        <v>100</v>
      </c>
      <c r="I63" s="258">
        <v>100</v>
      </c>
      <c r="J63" s="258">
        <v>100</v>
      </c>
      <c r="K63" s="258">
        <v>100</v>
      </c>
      <c r="L63" s="258">
        <v>100</v>
      </c>
      <c r="M63" s="258">
        <v>100</v>
      </c>
      <c r="N63" s="259">
        <v>100</v>
      </c>
      <c r="O63" s="260">
        <v>100</v>
      </c>
    </row>
    <row r="64" spans="1:15" ht="15.75" thickBot="1">
      <c r="A64" s="244" t="s">
        <v>268</v>
      </c>
      <c r="B64" s="245" t="s">
        <v>2890</v>
      </c>
      <c r="C64" s="246" t="s">
        <v>1471</v>
      </c>
      <c r="D64" s="247" t="s">
        <v>1472</v>
      </c>
      <c r="E64" s="247" t="s">
        <v>1473</v>
      </c>
      <c r="F64" s="247" t="s">
        <v>1474</v>
      </c>
      <c r="G64" s="247" t="s">
        <v>1475</v>
      </c>
      <c r="H64" s="247" t="s">
        <v>1476</v>
      </c>
      <c r="I64" s="247" t="s">
        <v>1477</v>
      </c>
      <c r="J64" s="247" t="s">
        <v>1478</v>
      </c>
      <c r="K64" s="247" t="s">
        <v>1479</v>
      </c>
      <c r="L64" s="247" t="s">
        <v>1480</v>
      </c>
      <c r="M64" s="247" t="s">
        <v>1481</v>
      </c>
      <c r="N64" s="248" t="s">
        <v>4522</v>
      </c>
      <c r="O64" s="245" t="s">
        <v>2891</v>
      </c>
    </row>
    <row r="65" spans="1:15">
      <c r="A65" s="249" t="s">
        <v>2892</v>
      </c>
      <c r="B65" s="261" t="s">
        <v>2893</v>
      </c>
      <c r="C65" s="280">
        <v>0</v>
      </c>
      <c r="D65" s="281">
        <v>0</v>
      </c>
      <c r="E65" s="281"/>
      <c r="F65" s="281"/>
      <c r="G65" s="281"/>
      <c r="H65" s="282"/>
      <c r="I65" s="283"/>
      <c r="J65" s="283"/>
      <c r="K65" s="283"/>
      <c r="L65" s="283"/>
      <c r="M65" s="283"/>
      <c r="N65" s="284"/>
      <c r="O65" s="285">
        <f>SUM(C65:N65)</f>
        <v>0</v>
      </c>
    </row>
    <row r="66" spans="1:15">
      <c r="A66" s="249" t="s">
        <v>2906</v>
      </c>
      <c r="B66" s="261" t="s">
        <v>2893</v>
      </c>
      <c r="C66" s="280">
        <v>0</v>
      </c>
      <c r="D66" s="280">
        <v>635</v>
      </c>
      <c r="E66" s="280"/>
      <c r="F66" s="281"/>
      <c r="G66" s="281"/>
      <c r="H66" s="282"/>
      <c r="I66" s="291"/>
      <c r="J66" s="291"/>
      <c r="K66" s="291"/>
      <c r="L66" s="283"/>
      <c r="M66" s="283"/>
      <c r="N66" s="284"/>
      <c r="O66" s="285">
        <f>SUM(C66:N66)</f>
        <v>635</v>
      </c>
    </row>
    <row r="67" spans="1:15">
      <c r="A67" s="252" t="s">
        <v>2894</v>
      </c>
      <c r="B67" s="266" t="s">
        <v>2893</v>
      </c>
      <c r="C67" s="286">
        <f>355482+48082</f>
        <v>403564</v>
      </c>
      <c r="D67" s="286">
        <f>45756+517497</f>
        <v>563253</v>
      </c>
      <c r="E67" s="286"/>
      <c r="F67" s="286"/>
      <c r="G67" s="286"/>
      <c r="H67" s="286"/>
      <c r="I67" s="286"/>
      <c r="J67" s="286"/>
      <c r="K67" s="286"/>
      <c r="L67" s="287"/>
      <c r="M67" s="288"/>
      <c r="N67" s="289"/>
      <c r="O67" s="290">
        <f>SUM(C67:N67)</f>
        <v>966817</v>
      </c>
    </row>
    <row r="68" spans="1:15">
      <c r="A68" s="252" t="s">
        <v>2895</v>
      </c>
      <c r="B68" s="254" t="s">
        <v>2896</v>
      </c>
      <c r="C68" s="272" t="e">
        <f t="shared" ref="C68:O68" si="9">C67/(C65+C66)</f>
        <v>#DIV/0!</v>
      </c>
      <c r="D68" s="272">
        <f t="shared" si="9"/>
        <v>887.01259842519687</v>
      </c>
      <c r="E68" s="272" t="e">
        <f t="shared" si="9"/>
        <v>#DIV/0!</v>
      </c>
      <c r="F68" s="272" t="e">
        <f t="shared" si="9"/>
        <v>#DIV/0!</v>
      </c>
      <c r="G68" s="272" t="e">
        <f t="shared" si="9"/>
        <v>#DIV/0!</v>
      </c>
      <c r="H68" s="272" t="e">
        <f t="shared" si="9"/>
        <v>#DIV/0!</v>
      </c>
      <c r="I68" s="272" t="e">
        <f t="shared" si="9"/>
        <v>#DIV/0!</v>
      </c>
      <c r="J68" s="272" t="e">
        <f t="shared" si="9"/>
        <v>#DIV/0!</v>
      </c>
      <c r="K68" s="272" t="e">
        <f t="shared" si="9"/>
        <v>#DIV/0!</v>
      </c>
      <c r="L68" s="272" t="e">
        <f t="shared" si="9"/>
        <v>#DIV/0!</v>
      </c>
      <c r="M68" s="272" t="e">
        <f t="shared" si="9"/>
        <v>#DIV/0!</v>
      </c>
      <c r="N68" s="272" t="e">
        <f t="shared" si="9"/>
        <v>#DIV/0!</v>
      </c>
      <c r="O68" s="272">
        <f t="shared" si="9"/>
        <v>1522.5464566929134</v>
      </c>
    </row>
    <row r="69" spans="1:15" ht="15.75" thickBot="1">
      <c r="A69" s="256" t="s">
        <v>2894</v>
      </c>
      <c r="B69" s="257" t="s">
        <v>2896</v>
      </c>
      <c r="C69" s="258">
        <v>100</v>
      </c>
      <c r="D69" s="258">
        <v>100</v>
      </c>
      <c r="E69" s="258">
        <v>100</v>
      </c>
      <c r="F69" s="258">
        <v>100</v>
      </c>
      <c r="G69" s="258">
        <v>100</v>
      </c>
      <c r="H69" s="258">
        <v>100</v>
      </c>
      <c r="I69" s="258">
        <v>100</v>
      </c>
      <c r="J69" s="258">
        <v>100</v>
      </c>
      <c r="K69" s="258">
        <v>100</v>
      </c>
      <c r="L69" s="258">
        <v>100</v>
      </c>
      <c r="M69" s="258">
        <v>100</v>
      </c>
      <c r="N69" s="259">
        <v>100</v>
      </c>
      <c r="O69" s="260">
        <v>100</v>
      </c>
    </row>
  </sheetData>
  <mergeCells count="1">
    <mergeCell ref="A8:O8"/>
  </mergeCells>
  <phoneticPr fontId="0" type="noConversion"/>
  <hyperlinks>
    <hyperlink ref="A1" location="Главная!A1" display="Переход на главную страницу"/>
  </hyperlinks>
  <pageMargins left="0.7" right="0.7" top="0.75" bottom="0.75" header="0.3" footer="0.3"/>
  <pageSetup paperSize="9" scale="48" fitToHeight="0" orientation="landscape" r:id="rId1"/>
  <drawing r:id="rId2"/>
</worksheet>
</file>

<file path=xl/worksheets/sheet7.xml><?xml version="1.0" encoding="utf-8"?>
<worksheet xmlns="http://schemas.openxmlformats.org/spreadsheetml/2006/main" xmlns:r="http://schemas.openxmlformats.org/officeDocument/2006/relationships">
  <sheetPr>
    <tabColor indexed="22"/>
    <pageSetUpPr fitToPage="1"/>
  </sheetPr>
  <dimension ref="A1:P60"/>
  <sheetViews>
    <sheetView showGridLines="0" view="pageBreakPreview" topLeftCell="A35" zoomScale="75" zoomScaleNormal="100" workbookViewId="0">
      <selection activeCell="B69" sqref="B69"/>
    </sheetView>
  </sheetViews>
  <sheetFormatPr defaultRowHeight="15"/>
  <cols>
    <col min="1" max="1" width="65.140625" customWidth="1"/>
    <col min="2" max="2" width="15.5703125" customWidth="1"/>
    <col min="3" max="14" width="14.85546875" bestFit="1" customWidth="1"/>
    <col min="15" max="15" width="16.28515625" bestFit="1" customWidth="1"/>
    <col min="16" max="16" width="14" bestFit="1" customWidth="1"/>
    <col min="17" max="17" width="10.42578125" bestFit="1" customWidth="1"/>
  </cols>
  <sheetData>
    <row r="1" spans="1:15" ht="15.75">
      <c r="A1" s="79" t="s">
        <v>724</v>
      </c>
      <c r="O1" t="s">
        <v>2908</v>
      </c>
    </row>
    <row r="2" spans="1:15" ht="21">
      <c r="A2" s="234"/>
    </row>
    <row r="3" spans="1:15" ht="19.5" thickBot="1">
      <c r="A3" s="1649" t="s">
        <v>2909</v>
      </c>
      <c r="B3" s="1649"/>
      <c r="C3" s="1649"/>
      <c r="D3" s="1649"/>
      <c r="E3" s="1649"/>
      <c r="F3" s="1649"/>
      <c r="G3" s="1649"/>
      <c r="H3" s="1649"/>
      <c r="I3" s="1649"/>
      <c r="J3" s="1649"/>
      <c r="K3" s="1649"/>
      <c r="L3" s="1649"/>
      <c r="M3" s="1649"/>
      <c r="N3" s="1649"/>
      <c r="O3" s="1649"/>
    </row>
    <row r="4" spans="1:15" ht="15.75" thickBot="1">
      <c r="A4" s="244"/>
      <c r="B4" s="245" t="s">
        <v>2890</v>
      </c>
      <c r="C4" s="246" t="s">
        <v>1471</v>
      </c>
      <c r="D4" s="247" t="s">
        <v>1472</v>
      </c>
      <c r="E4" s="247" t="s">
        <v>1473</v>
      </c>
      <c r="F4" s="247" t="s">
        <v>1474</v>
      </c>
      <c r="G4" s="247" t="s">
        <v>1475</v>
      </c>
      <c r="H4" s="247" t="s">
        <v>1476</v>
      </c>
      <c r="I4" s="247" t="s">
        <v>1477</v>
      </c>
      <c r="J4" s="247" t="s">
        <v>1478</v>
      </c>
      <c r="K4" s="247" t="s">
        <v>1479</v>
      </c>
      <c r="L4" s="247" t="s">
        <v>1480</v>
      </c>
      <c r="M4" s="247" t="s">
        <v>1481</v>
      </c>
      <c r="N4" s="248" t="s">
        <v>4522</v>
      </c>
      <c r="O4" s="245" t="s">
        <v>2891</v>
      </c>
    </row>
    <row r="5" spans="1:15">
      <c r="A5" s="292" t="s">
        <v>2910</v>
      </c>
      <c r="B5" s="250" t="s">
        <v>2893</v>
      </c>
      <c r="C5" s="293">
        <f>C8+C9</f>
        <v>946547</v>
      </c>
      <c r="D5" s="294">
        <f t="shared" ref="D5:I5" si="0">D8+D9</f>
        <v>628012</v>
      </c>
      <c r="E5" s="294">
        <f t="shared" si="0"/>
        <v>573363</v>
      </c>
      <c r="F5" s="294">
        <f t="shared" si="0"/>
        <v>457949</v>
      </c>
      <c r="G5" s="294">
        <f t="shared" si="0"/>
        <v>725947</v>
      </c>
      <c r="H5" s="294">
        <f t="shared" si="0"/>
        <v>440606</v>
      </c>
      <c r="I5" s="294">
        <f t="shared" si="0"/>
        <v>391097</v>
      </c>
      <c r="J5" s="294">
        <v>216849</v>
      </c>
      <c r="K5" s="294">
        <v>223107</v>
      </c>
      <c r="L5" s="294">
        <v>248626</v>
      </c>
      <c r="M5" s="294">
        <v>325315</v>
      </c>
      <c r="N5" s="295">
        <v>313488</v>
      </c>
      <c r="O5" s="250">
        <f>SUM(C5:N5)</f>
        <v>5490906</v>
      </c>
    </row>
    <row r="6" spans="1:15">
      <c r="A6" s="296" t="s">
        <v>2911</v>
      </c>
      <c r="B6" s="253" t="s">
        <v>2898</v>
      </c>
      <c r="C6" s="297">
        <v>0.94099999999999995</v>
      </c>
      <c r="D6" s="251">
        <v>0.94099999999999995</v>
      </c>
      <c r="E6" s="251">
        <v>0.94099999999999995</v>
      </c>
      <c r="F6" s="251">
        <v>0.94099999999999995</v>
      </c>
      <c r="G6" s="251">
        <v>0.94099999999999995</v>
      </c>
      <c r="H6" s="251">
        <v>0.94099999999999995</v>
      </c>
      <c r="I6" s="251">
        <v>0.94099999999999995</v>
      </c>
      <c r="J6" s="251">
        <v>0.94099999999999995</v>
      </c>
      <c r="K6" s="251">
        <v>0.94099999999999995</v>
      </c>
      <c r="L6" s="251">
        <v>0.94099999999999995</v>
      </c>
      <c r="M6" s="251">
        <v>0.94099999999999995</v>
      </c>
      <c r="N6" s="298">
        <v>0.94099999999999995</v>
      </c>
      <c r="O6" s="253">
        <f>AVERAGE(C6:N6)</f>
        <v>0.94100000000000017</v>
      </c>
    </row>
    <row r="7" spans="1:15">
      <c r="A7" s="296" t="s">
        <v>2912</v>
      </c>
      <c r="B7" s="253" t="s">
        <v>2898</v>
      </c>
      <c r="C7" s="255">
        <v>1.2221200000000001</v>
      </c>
      <c r="D7" s="251">
        <v>0.84412061675972927</v>
      </c>
      <c r="E7" s="251">
        <v>1.2221200000000001</v>
      </c>
      <c r="F7" s="251">
        <v>1.8791321259464415</v>
      </c>
      <c r="G7" s="251">
        <v>1.609423122295919</v>
      </c>
      <c r="H7" s="251">
        <v>1.8549270243367948</v>
      </c>
      <c r="I7" s="251">
        <v>2.1446340828891368</v>
      </c>
      <c r="J7" s="251">
        <v>2.1194450226770121</v>
      </c>
      <c r="K7" s="251">
        <v>2.8323786098495316</v>
      </c>
      <c r="L7" s="251">
        <v>1.6319801552923288</v>
      </c>
      <c r="M7" s="251">
        <v>0</v>
      </c>
      <c r="N7" s="298">
        <v>0</v>
      </c>
      <c r="O7" s="253">
        <f>AVERAGE(C7:N7)</f>
        <v>1.4466900633372413</v>
      </c>
    </row>
    <row r="8" spans="1:15">
      <c r="A8" s="296" t="s">
        <v>2913</v>
      </c>
      <c r="B8" s="253" t="s">
        <v>2893</v>
      </c>
      <c r="C8" s="255">
        <v>662583</v>
      </c>
      <c r="D8" s="251">
        <v>439608</v>
      </c>
      <c r="E8" s="251">
        <v>468708</v>
      </c>
      <c r="F8" s="251">
        <v>304791</v>
      </c>
      <c r="G8" s="251">
        <v>467241</v>
      </c>
      <c r="H8" s="251">
        <v>220303</v>
      </c>
      <c r="I8" s="251">
        <v>270092</v>
      </c>
      <c r="J8" s="251">
        <v>216849</v>
      </c>
      <c r="K8" s="251">
        <v>223107</v>
      </c>
      <c r="L8" s="251">
        <v>248626</v>
      </c>
      <c r="M8" s="251">
        <v>325315</v>
      </c>
      <c r="N8" s="298">
        <v>313488</v>
      </c>
      <c r="O8" s="253">
        <f>SUM(C8:N8)</f>
        <v>4160711</v>
      </c>
    </row>
    <row r="9" spans="1:15">
      <c r="A9" s="296" t="s">
        <v>2914</v>
      </c>
      <c r="B9" s="253" t="s">
        <v>2893</v>
      </c>
      <c r="C9" s="255">
        <v>283964</v>
      </c>
      <c r="D9" s="251">
        <v>188404</v>
      </c>
      <c r="E9" s="251">
        <v>104655</v>
      </c>
      <c r="F9" s="251">
        <v>153158</v>
      </c>
      <c r="G9" s="251">
        <v>258706</v>
      </c>
      <c r="H9" s="251">
        <v>220303</v>
      </c>
      <c r="I9" s="251">
        <v>121005</v>
      </c>
      <c r="J9" s="251">
        <v>0</v>
      </c>
      <c r="K9" s="251">
        <v>0</v>
      </c>
      <c r="L9" s="251">
        <v>0</v>
      </c>
      <c r="M9" s="251">
        <v>0</v>
      </c>
      <c r="N9" s="298">
        <v>0</v>
      </c>
      <c r="O9" s="253">
        <f>SUM(C9:N9)</f>
        <v>1330195</v>
      </c>
    </row>
    <row r="10" spans="1:15">
      <c r="A10" s="296" t="s">
        <v>2915</v>
      </c>
      <c r="B10" s="253" t="s">
        <v>2903</v>
      </c>
      <c r="C10" s="255">
        <f>(C6*C8)+(C9*C7)</f>
        <v>970528.68668000004</v>
      </c>
      <c r="D10" s="251">
        <f t="shared" ref="D10:I10" si="1">(D6*D8)+(D9*D7)</f>
        <v>572706.82868000004</v>
      </c>
      <c r="E10" s="251">
        <f t="shared" si="1"/>
        <v>568955.19660000002</v>
      </c>
      <c r="F10" s="251">
        <f t="shared" si="1"/>
        <v>574612.44914570509</v>
      </c>
      <c r="G10" s="251">
        <f t="shared" si="1"/>
        <v>856041.19927668804</v>
      </c>
      <c r="H10" s="251">
        <f t="shared" si="1"/>
        <v>615951.11124246893</v>
      </c>
      <c r="I10" s="251">
        <f t="shared" si="1"/>
        <v>513668.01919999998</v>
      </c>
      <c r="J10" s="251">
        <v>204054.90899999999</v>
      </c>
      <c r="K10" s="251">
        <v>209943.68699999998</v>
      </c>
      <c r="L10" s="251">
        <v>233957.06599999999</v>
      </c>
      <c r="M10" s="251">
        <v>306121.41499999998</v>
      </c>
      <c r="N10" s="298">
        <v>294992.20799999998</v>
      </c>
      <c r="O10" s="253">
        <f>SUM(C10:N10)</f>
        <v>5921532.7758248607</v>
      </c>
    </row>
    <row r="11" spans="1:15" ht="15.75" thickBot="1">
      <c r="A11" s="299" t="s">
        <v>2916</v>
      </c>
      <c r="B11" s="300" t="s">
        <v>2898</v>
      </c>
      <c r="C11" s="301">
        <f t="shared" ref="C11:I11" si="2">C10/C5</f>
        <v>1.0253359703004712</v>
      </c>
      <c r="D11" s="302">
        <f t="shared" si="2"/>
        <v>0.9119361233224843</v>
      </c>
      <c r="E11" s="302">
        <f t="shared" si="2"/>
        <v>0.9923123686041827</v>
      </c>
      <c r="F11" s="302">
        <f t="shared" si="2"/>
        <v>1.2547520556780452</v>
      </c>
      <c r="G11" s="302">
        <f t="shared" si="2"/>
        <v>1.1792061944972403</v>
      </c>
      <c r="H11" s="302">
        <f t="shared" si="2"/>
        <v>1.3979635121683975</v>
      </c>
      <c r="I11" s="302">
        <f t="shared" si="2"/>
        <v>1.3134031178965833</v>
      </c>
      <c r="J11" s="302">
        <v>0.94099999999999995</v>
      </c>
      <c r="K11" s="302">
        <v>0.94099999999999995</v>
      </c>
      <c r="L11" s="302">
        <v>0.94099999999999995</v>
      </c>
      <c r="M11" s="302">
        <v>0.94099999999999995</v>
      </c>
      <c r="N11" s="303">
        <v>0.94099999999999995</v>
      </c>
      <c r="O11" s="300">
        <f>AVERAGE(C11:N11)</f>
        <v>1.0649924452056172</v>
      </c>
    </row>
    <row r="12" spans="1:15" ht="21">
      <c r="A12" s="234"/>
    </row>
    <row r="13" spans="1:15" ht="19.5" thickBot="1">
      <c r="A13" s="1649" t="s">
        <v>2917</v>
      </c>
      <c r="B13" s="1649"/>
      <c r="C13" s="1649"/>
      <c r="D13" s="1649"/>
      <c r="E13" s="1649"/>
      <c r="F13" s="1649"/>
      <c r="G13" s="1649"/>
      <c r="H13" s="1649"/>
      <c r="I13" s="1649"/>
      <c r="J13" s="1649"/>
      <c r="K13" s="1649"/>
      <c r="L13" s="1649"/>
      <c r="M13" s="1649"/>
      <c r="N13" s="1649"/>
      <c r="O13" s="1649"/>
    </row>
    <row r="14" spans="1:15" ht="15.75" thickBot="1">
      <c r="A14" s="244"/>
      <c r="B14" s="245" t="s">
        <v>2890</v>
      </c>
      <c r="C14" s="246" t="s">
        <v>1471</v>
      </c>
      <c r="D14" s="247" t="s">
        <v>1472</v>
      </c>
      <c r="E14" s="247" t="s">
        <v>1473</v>
      </c>
      <c r="F14" s="247" t="s">
        <v>1474</v>
      </c>
      <c r="G14" s="247" t="s">
        <v>1475</v>
      </c>
      <c r="H14" s="247" t="s">
        <v>1476</v>
      </c>
      <c r="I14" s="247" t="s">
        <v>1477</v>
      </c>
      <c r="J14" s="247" t="s">
        <v>1478</v>
      </c>
      <c r="K14" s="247" t="s">
        <v>1479</v>
      </c>
      <c r="L14" s="247" t="s">
        <v>1480</v>
      </c>
      <c r="M14" s="247" t="s">
        <v>1481</v>
      </c>
      <c r="N14" s="248" t="s">
        <v>4522</v>
      </c>
      <c r="O14" s="245" t="s">
        <v>2891</v>
      </c>
    </row>
    <row r="15" spans="1:15" hidden="1">
      <c r="A15" s="249" t="s">
        <v>2918</v>
      </c>
      <c r="B15" s="261" t="s">
        <v>2893</v>
      </c>
      <c r="C15" s="262">
        <v>798207</v>
      </c>
      <c r="D15" s="263">
        <v>903249</v>
      </c>
      <c r="E15" s="263">
        <v>1516058</v>
      </c>
      <c r="F15" s="263">
        <v>2529654</v>
      </c>
      <c r="G15" s="263">
        <v>1888195</v>
      </c>
      <c r="H15" s="263">
        <v>1551915</v>
      </c>
      <c r="I15" s="263">
        <v>1657050</v>
      </c>
      <c r="J15" s="263">
        <v>305661</v>
      </c>
      <c r="K15" s="263">
        <v>336269</v>
      </c>
      <c r="L15" s="263">
        <v>1697256</v>
      </c>
      <c r="M15" s="263">
        <v>1605542</v>
      </c>
      <c r="N15" s="264">
        <v>1352045</v>
      </c>
      <c r="O15" s="265">
        <v>16141101</v>
      </c>
    </row>
    <row r="16" spans="1:15" hidden="1">
      <c r="A16" s="252" t="s">
        <v>2897</v>
      </c>
      <c r="B16" s="266" t="s">
        <v>2898</v>
      </c>
      <c r="C16" s="267">
        <v>2.6190000000000002</v>
      </c>
      <c r="D16" s="268">
        <v>2.6190000000000002</v>
      </c>
      <c r="E16" s="268">
        <v>2.6190000000000002</v>
      </c>
      <c r="F16" s="268">
        <v>2.6190000000000002</v>
      </c>
      <c r="G16" s="268">
        <v>2.6190000000000002</v>
      </c>
      <c r="H16" s="268">
        <v>2.6190000000000002</v>
      </c>
      <c r="I16" s="268">
        <v>2.6190000000000002</v>
      </c>
      <c r="J16" s="268">
        <v>2.6190000000000002</v>
      </c>
      <c r="K16" s="268">
        <v>2.6190000000000002</v>
      </c>
      <c r="L16" s="268">
        <v>2.6190000000000002</v>
      </c>
      <c r="M16" s="268">
        <v>2.6190000000000002</v>
      </c>
      <c r="N16" s="269">
        <v>2.6190000000000002</v>
      </c>
      <c r="O16" s="270">
        <v>2.6190000000000002</v>
      </c>
    </row>
    <row r="17" spans="1:15" hidden="1">
      <c r="A17" s="252" t="s">
        <v>2899</v>
      </c>
      <c r="B17" s="266" t="s">
        <v>2898</v>
      </c>
      <c r="C17" s="267">
        <v>3.4996606975202695</v>
      </c>
      <c r="D17" s="268">
        <v>3.6982102759707374</v>
      </c>
      <c r="E17" s="268">
        <v>3.5065978649025693</v>
      </c>
      <c r="F17" s="268">
        <v>3.4219530990140004</v>
      </c>
      <c r="G17" s="268">
        <v>3.6274485764902362</v>
      </c>
      <c r="H17" s="268">
        <v>3.545970213257593</v>
      </c>
      <c r="I17" s="268">
        <v>3.6252630811346234</v>
      </c>
      <c r="J17" s="268">
        <v>6.1829511985181123</v>
      </c>
      <c r="K17" s="268">
        <v>3.1383490835834094</v>
      </c>
      <c r="L17" s="268">
        <v>3.177259563948764</v>
      </c>
      <c r="M17" s="268">
        <v>3.5699064287808788</v>
      </c>
      <c r="N17" s="269">
        <v>3.5351857283164971</v>
      </c>
      <c r="O17" s="270">
        <v>3.7107296509531413</v>
      </c>
    </row>
    <row r="18" spans="1:15" hidden="1">
      <c r="A18" s="252" t="s">
        <v>2900</v>
      </c>
      <c r="B18" s="266" t="s">
        <v>2893</v>
      </c>
      <c r="C18" s="267">
        <v>427516</v>
      </c>
      <c r="D18" s="268">
        <v>490071</v>
      </c>
      <c r="E18" s="268">
        <v>776424</v>
      </c>
      <c r="F18" s="268">
        <v>1040306</v>
      </c>
      <c r="G18" s="268">
        <v>888969</v>
      </c>
      <c r="H18" s="268">
        <v>718928</v>
      </c>
      <c r="I18" s="268">
        <v>373969</v>
      </c>
      <c r="J18" s="268">
        <v>108134</v>
      </c>
      <c r="K18" s="268">
        <v>100420</v>
      </c>
      <c r="L18" s="268">
        <v>462483</v>
      </c>
      <c r="M18" s="268">
        <v>415292</v>
      </c>
      <c r="N18" s="269">
        <v>298076</v>
      </c>
      <c r="O18" s="270">
        <v>5802512</v>
      </c>
    </row>
    <row r="19" spans="1:15" hidden="1">
      <c r="A19" s="252" t="s">
        <v>2901</v>
      </c>
      <c r="B19" s="266" t="s">
        <v>2893</v>
      </c>
      <c r="C19" s="267">
        <v>370691</v>
      </c>
      <c r="D19" s="268">
        <v>413178</v>
      </c>
      <c r="E19" s="268">
        <v>739634</v>
      </c>
      <c r="F19" s="268">
        <v>1489348</v>
      </c>
      <c r="G19" s="268">
        <v>999226</v>
      </c>
      <c r="H19" s="268">
        <v>832987</v>
      </c>
      <c r="I19" s="268">
        <v>1283081</v>
      </c>
      <c r="J19" s="268">
        <v>197527</v>
      </c>
      <c r="K19" s="268">
        <v>235849</v>
      </c>
      <c r="L19" s="268">
        <v>1234773</v>
      </c>
      <c r="M19" s="268">
        <v>1190250</v>
      </c>
      <c r="N19" s="269">
        <v>1053969</v>
      </c>
      <c r="O19" s="270">
        <v>10040513</v>
      </c>
    </row>
    <row r="20" spans="1:15" hidden="1">
      <c r="A20" s="252" t="s">
        <v>2902</v>
      </c>
      <c r="B20" s="266" t="s">
        <v>2903</v>
      </c>
      <c r="C20" s="267">
        <v>2416957.1276244866</v>
      </c>
      <c r="D20" s="268">
        <v>2811515.0744050373</v>
      </c>
      <c r="E20" s="268">
        <v>4627053.4612093475</v>
      </c>
      <c r="F20" s="268">
        <v>7821040.4181103036</v>
      </c>
      <c r="G20" s="268">
        <v>5952850.7422920335</v>
      </c>
      <c r="H20" s="268">
        <v>4836619.5220308024</v>
      </c>
      <c r="I20" s="268">
        <v>5630930.9904052932</v>
      </c>
      <c r="J20" s="268">
        <v>1504502.7473896872</v>
      </c>
      <c r="K20" s="268">
        <v>1003176.4730140637</v>
      </c>
      <c r="L20" s="268">
        <v>5134437.300555707</v>
      </c>
      <c r="M20" s="268">
        <v>5336730.8748564404</v>
      </c>
      <c r="N20" s="269">
        <v>4506637.2108880104</v>
      </c>
      <c r="O20" s="270">
        <v>51582451.942781217</v>
      </c>
    </row>
    <row r="21" spans="1:15" hidden="1">
      <c r="A21" s="252" t="s">
        <v>2904</v>
      </c>
      <c r="B21" s="266" t="s">
        <v>2898</v>
      </c>
      <c r="C21" s="267">
        <v>3.0279828761517833</v>
      </c>
      <c r="D21" s="268">
        <v>3.112668903486234</v>
      </c>
      <c r="E21" s="268">
        <v>3.0520293162988139</v>
      </c>
      <c r="F21" s="268">
        <v>3.091743146734812</v>
      </c>
      <c r="G21" s="268">
        <v>3.1526673581341087</v>
      </c>
      <c r="H21" s="268">
        <v>3.1165492453071222</v>
      </c>
      <c r="I21" s="268">
        <v>3.3981660121331845</v>
      </c>
      <c r="J21" s="268">
        <v>4.9221285914450563</v>
      </c>
      <c r="K21" s="268">
        <v>2.9832558844676842</v>
      </c>
      <c r="L21" s="268">
        <v>3.0251401677505969</v>
      </c>
      <c r="M21" s="268">
        <v>3.3239434875303422</v>
      </c>
      <c r="N21" s="269">
        <v>3.3332006041869984</v>
      </c>
      <c r="O21" s="270">
        <v>3.294956299468895</v>
      </c>
    </row>
    <row r="22" spans="1:15" hidden="1">
      <c r="A22" s="252" t="s">
        <v>2905</v>
      </c>
      <c r="B22" s="266" t="s">
        <v>2898</v>
      </c>
      <c r="C22" s="267">
        <v>2416957.1276244866</v>
      </c>
      <c r="D22" s="268">
        <v>2811515.0744050373</v>
      </c>
      <c r="E22" s="268">
        <v>4627053.4612093475</v>
      </c>
      <c r="F22" s="268">
        <v>7821040.4181103036</v>
      </c>
      <c r="G22" s="268">
        <v>5952850.7422920335</v>
      </c>
      <c r="H22" s="268">
        <v>4836619.5220308024</v>
      </c>
      <c r="I22" s="268">
        <v>5630930.9904052932</v>
      </c>
      <c r="J22" s="268">
        <v>1504502.7473896872</v>
      </c>
      <c r="K22" s="268">
        <v>1003176.4730140637</v>
      </c>
      <c r="L22" s="268">
        <v>5134437.300555707</v>
      </c>
      <c r="M22" s="268">
        <v>5336730.8748564404</v>
      </c>
      <c r="N22" s="269">
        <v>4506637.2108880104</v>
      </c>
      <c r="O22" s="270">
        <v>51582451.942781217</v>
      </c>
    </row>
    <row r="23" spans="1:15">
      <c r="A23" s="252" t="s">
        <v>2910</v>
      </c>
      <c r="B23" s="266" t="s">
        <v>2893</v>
      </c>
      <c r="C23" s="267">
        <v>1291432</v>
      </c>
      <c r="D23" s="268">
        <v>354587</v>
      </c>
      <c r="E23" s="268">
        <v>719393</v>
      </c>
      <c r="F23" s="268">
        <v>578926</v>
      </c>
      <c r="G23" s="268">
        <v>591216</v>
      </c>
      <c r="H23" s="268">
        <v>471839</v>
      </c>
      <c r="I23" s="268">
        <v>546267</v>
      </c>
      <c r="J23" s="268">
        <v>109213</v>
      </c>
      <c r="K23" s="268">
        <v>275564</v>
      </c>
      <c r="L23" s="268">
        <v>890104</v>
      </c>
      <c r="M23" s="268">
        <v>374223</v>
      </c>
      <c r="N23" s="269">
        <v>870838</v>
      </c>
      <c r="O23" s="270">
        <v>7073602</v>
      </c>
    </row>
    <row r="24" spans="1:15">
      <c r="A24" s="252" t="s">
        <v>2911</v>
      </c>
      <c r="B24" s="266" t="s">
        <v>2898</v>
      </c>
      <c r="C24" s="267">
        <v>0.99222238624981896</v>
      </c>
      <c r="D24" s="268">
        <v>0.99222238624981896</v>
      </c>
      <c r="E24" s="268">
        <v>0.99222238624981896</v>
      </c>
      <c r="F24" s="268">
        <v>0.99222238624981896</v>
      </c>
      <c r="G24" s="268">
        <v>0.99222238624981896</v>
      </c>
      <c r="H24" s="268">
        <v>0.99222238624981896</v>
      </c>
      <c r="I24" s="268">
        <v>0.99222238624981896</v>
      </c>
      <c r="J24" s="268">
        <v>0.99222238624981896</v>
      </c>
      <c r="K24" s="268">
        <v>0.99222238624981896</v>
      </c>
      <c r="L24" s="268">
        <v>0.99222238624981896</v>
      </c>
      <c r="M24" s="268">
        <v>0.99222238624981896</v>
      </c>
      <c r="N24" s="269">
        <v>0.99222238624981896</v>
      </c>
      <c r="O24" s="270">
        <v>0.99222238624981907</v>
      </c>
    </row>
    <row r="25" spans="1:15">
      <c r="A25" s="252" t="s">
        <v>2912</v>
      </c>
      <c r="B25" s="266" t="s">
        <v>2898</v>
      </c>
      <c r="C25" s="267">
        <v>1.8112846802883324</v>
      </c>
      <c r="D25" s="268">
        <v>1.9850902759707374</v>
      </c>
      <c r="E25" s="268">
        <v>1.7934662322250103</v>
      </c>
      <c r="F25" s="268">
        <v>1.7089242725967526</v>
      </c>
      <c r="G25" s="268">
        <v>1.9142844230063047</v>
      </c>
      <c r="H25" s="268">
        <v>1.8327568779512684</v>
      </c>
      <c r="I25" s="268">
        <v>1.9121458654280628</v>
      </c>
      <c r="J25" s="268">
        <v>4.3217294930492631</v>
      </c>
      <c r="K25" s="268">
        <v>1.4246453660424221</v>
      </c>
      <c r="L25" s="268">
        <v>1.4619664968265862</v>
      </c>
      <c r="M25" s="268">
        <v>1.84665062291107</v>
      </c>
      <c r="N25" s="269">
        <v>1.8209618676530572</v>
      </c>
      <c r="O25" s="270">
        <v>1.9861588728290724</v>
      </c>
    </row>
    <row r="26" spans="1:15">
      <c r="A26" s="252" t="s">
        <v>2913</v>
      </c>
      <c r="B26" s="266" t="s">
        <v>2893</v>
      </c>
      <c r="C26" s="267">
        <v>691686</v>
      </c>
      <c r="D26" s="268">
        <v>192386</v>
      </c>
      <c r="E26" s="268">
        <v>368425</v>
      </c>
      <c r="F26" s="268">
        <v>238080</v>
      </c>
      <c r="G26" s="268">
        <v>278347</v>
      </c>
      <c r="H26" s="268">
        <v>218580</v>
      </c>
      <c r="I26" s="268">
        <v>123284</v>
      </c>
      <c r="J26" s="268">
        <v>38637</v>
      </c>
      <c r="K26" s="268">
        <v>82292</v>
      </c>
      <c r="L26" s="268">
        <v>242543</v>
      </c>
      <c r="M26" s="268">
        <v>96797</v>
      </c>
      <c r="N26" s="269">
        <v>191988</v>
      </c>
      <c r="O26" s="270">
        <v>2763045</v>
      </c>
    </row>
    <row r="27" spans="1:15">
      <c r="A27" s="252" t="s">
        <v>2914</v>
      </c>
      <c r="B27" s="266" t="s">
        <v>2893</v>
      </c>
      <c r="C27" s="267">
        <v>599746</v>
      </c>
      <c r="D27" s="268">
        <v>162201</v>
      </c>
      <c r="E27" s="268">
        <v>350968</v>
      </c>
      <c r="F27" s="268">
        <v>340846</v>
      </c>
      <c r="G27" s="268">
        <v>312869</v>
      </c>
      <c r="H27" s="268">
        <v>253259</v>
      </c>
      <c r="I27" s="268">
        <v>422983</v>
      </c>
      <c r="J27" s="268">
        <v>70576</v>
      </c>
      <c r="K27" s="268">
        <v>193272</v>
      </c>
      <c r="L27" s="268">
        <v>647561</v>
      </c>
      <c r="M27" s="268">
        <v>277426</v>
      </c>
      <c r="N27" s="269">
        <v>678850</v>
      </c>
      <c r="O27" s="270">
        <v>4310557</v>
      </c>
    </row>
    <row r="28" spans="1:15">
      <c r="A28" s="252" t="s">
        <v>2915</v>
      </c>
      <c r="B28" s="266" t="s">
        <v>2903</v>
      </c>
      <c r="C28" s="267">
        <v>1772617.0753197987</v>
      </c>
      <c r="D28" s="268">
        <v>512873.32385378727</v>
      </c>
      <c r="E28" s="268">
        <v>995008.7892456369</v>
      </c>
      <c r="F28" s="268">
        <v>818708.30833586957</v>
      </c>
      <c r="G28" s="268">
        <v>875102.37768703792</v>
      </c>
      <c r="H28" s="268">
        <v>681042.1433395457</v>
      </c>
      <c r="I28" s="268">
        <v>931130.33926278097</v>
      </c>
      <c r="J28" s="268">
        <v>343346.87703897909</v>
      </c>
      <c r="K28" s="268">
        <v>356996.02379502112</v>
      </c>
      <c r="L28" s="268">
        <v>1187369.0808797108</v>
      </c>
      <c r="M28" s="268">
        <v>608353.04603355029</v>
      </c>
      <c r="N28" s="269">
        <v>1426654.7553476081</v>
      </c>
      <c r="O28" s="270">
        <v>10509202.140139325</v>
      </c>
    </row>
    <row r="29" spans="1:15" ht="15.75" thickBot="1">
      <c r="A29" s="256" t="s">
        <v>2916</v>
      </c>
      <c r="B29" s="257" t="s">
        <v>2898</v>
      </c>
      <c r="C29" s="304">
        <v>1.3725980735492063</v>
      </c>
      <c r="D29" s="305">
        <v>1.4463962972522604</v>
      </c>
      <c r="E29" s="305">
        <v>1.3831227010071503</v>
      </c>
      <c r="F29" s="305">
        <v>1.4141847288528577</v>
      </c>
      <c r="G29" s="305">
        <v>1.4801737058656024</v>
      </c>
      <c r="H29" s="305">
        <v>1.4433782356684075</v>
      </c>
      <c r="I29" s="305">
        <v>1.704533386169732</v>
      </c>
      <c r="J29" s="305">
        <v>3.1438279054597813</v>
      </c>
      <c r="K29" s="305">
        <v>1.2955103852281906</v>
      </c>
      <c r="L29" s="305">
        <v>1.3339666835332846</v>
      </c>
      <c r="M29" s="305">
        <v>1.6256431219715257</v>
      </c>
      <c r="N29" s="306">
        <v>1.6382550547261467</v>
      </c>
      <c r="O29" s="307">
        <v>1.6067991899403455</v>
      </c>
    </row>
    <row r="31" spans="1:15" ht="19.5" thickBot="1">
      <c r="A31" s="1649" t="s">
        <v>2919</v>
      </c>
      <c r="B31" s="1649"/>
      <c r="C31" s="1649"/>
      <c r="D31" s="1649"/>
      <c r="E31" s="1649"/>
      <c r="F31" s="1649"/>
      <c r="G31" s="1649"/>
      <c r="H31" s="1649"/>
      <c r="I31" s="1649"/>
      <c r="J31" s="1649"/>
      <c r="K31" s="1649"/>
      <c r="L31" s="1649"/>
      <c r="M31" s="1649"/>
      <c r="N31" s="1649"/>
      <c r="O31" s="1649"/>
    </row>
    <row r="32" spans="1:15" ht="15.75" thickBot="1">
      <c r="A32" s="244"/>
      <c r="B32" s="245" t="s">
        <v>2890</v>
      </c>
      <c r="C32" s="246" t="s">
        <v>1471</v>
      </c>
      <c r="D32" s="247" t="s">
        <v>1472</v>
      </c>
      <c r="E32" s="247" t="s">
        <v>1473</v>
      </c>
      <c r="F32" s="247" t="s">
        <v>1474</v>
      </c>
      <c r="G32" s="247" t="s">
        <v>1475</v>
      </c>
      <c r="H32" s="247" t="s">
        <v>1476</v>
      </c>
      <c r="I32" s="247" t="s">
        <v>1477</v>
      </c>
      <c r="J32" s="247" t="s">
        <v>1478</v>
      </c>
      <c r="K32" s="247" t="s">
        <v>1479</v>
      </c>
      <c r="L32" s="247" t="s">
        <v>1480</v>
      </c>
      <c r="M32" s="247" t="s">
        <v>1481</v>
      </c>
      <c r="N32" s="248" t="s">
        <v>4522</v>
      </c>
      <c r="O32" s="245" t="s">
        <v>2891</v>
      </c>
    </row>
    <row r="33" spans="1:16">
      <c r="A33" s="249" t="s">
        <v>2910</v>
      </c>
      <c r="B33" s="261" t="s">
        <v>2893</v>
      </c>
      <c r="C33" s="262">
        <v>991309</v>
      </c>
      <c r="D33" s="263">
        <v>782396</v>
      </c>
      <c r="E33" s="263">
        <v>866782</v>
      </c>
      <c r="F33" s="263">
        <v>822556</v>
      </c>
      <c r="G33" s="263">
        <v>227598</v>
      </c>
      <c r="H33" s="263">
        <v>502862</v>
      </c>
      <c r="I33" s="263">
        <v>1135745</v>
      </c>
      <c r="J33" s="263">
        <v>208946</v>
      </c>
      <c r="K33" s="263">
        <v>426600</v>
      </c>
      <c r="L33" s="263">
        <v>439870</v>
      </c>
      <c r="M33" s="263">
        <v>557407</v>
      </c>
      <c r="N33" s="264">
        <v>674887</v>
      </c>
      <c r="O33" s="265">
        <f>SUM(C33:N33)</f>
        <v>7636958</v>
      </c>
      <c r="P33" s="276">
        <f>O33+'п.п. 11 Б-7'!P23</f>
        <v>8106817</v>
      </c>
    </row>
    <row r="34" spans="1:16">
      <c r="A34" s="252" t="s">
        <v>2920</v>
      </c>
      <c r="B34" s="266" t="s">
        <v>2898</v>
      </c>
      <c r="C34" s="267">
        <v>2.0459999999999998</v>
      </c>
      <c r="D34" s="268">
        <v>2.1080000000000001</v>
      </c>
      <c r="E34" s="268">
        <v>1.831</v>
      </c>
      <c r="F34" s="268">
        <v>1.837</v>
      </c>
      <c r="G34" s="268">
        <v>1.88</v>
      </c>
      <c r="H34" s="268">
        <v>1.9707227117847579</v>
      </c>
      <c r="I34" s="268">
        <v>1.8879999999999999</v>
      </c>
      <c r="J34" s="268">
        <v>1.790274762853677</v>
      </c>
      <c r="K34" s="268">
        <v>1.7445475832551629</v>
      </c>
      <c r="L34" s="268">
        <v>1.708</v>
      </c>
      <c r="M34" s="268">
        <v>1.77</v>
      </c>
      <c r="N34" s="269">
        <v>1.859</v>
      </c>
      <c r="O34" s="265">
        <f>O35/O33</f>
        <v>1.8920639072402103</v>
      </c>
    </row>
    <row r="35" spans="1:16" ht="15.75" thickBot="1">
      <c r="A35" s="256" t="s">
        <v>2902</v>
      </c>
      <c r="B35" s="257" t="s">
        <v>2903</v>
      </c>
      <c r="C35" s="308">
        <f t="shared" ref="C35:J35" si="3">C33*C34</f>
        <v>2028218.2139999999</v>
      </c>
      <c r="D35" s="308">
        <f t="shared" si="3"/>
        <v>1649290.7680000002</v>
      </c>
      <c r="E35" s="308">
        <f t="shared" si="3"/>
        <v>1587077.8419999999</v>
      </c>
      <c r="F35" s="308">
        <f t="shared" si="3"/>
        <v>1511035.372</v>
      </c>
      <c r="G35" s="308">
        <f t="shared" si="3"/>
        <v>427884.24</v>
      </c>
      <c r="H35" s="308">
        <f t="shared" si="3"/>
        <v>991001.5642935069</v>
      </c>
      <c r="I35" s="308">
        <f t="shared" si="3"/>
        <v>2144286.56</v>
      </c>
      <c r="J35" s="308">
        <f t="shared" si="3"/>
        <v>374070.75059922441</v>
      </c>
      <c r="K35" s="308">
        <f>K33*K34</f>
        <v>744223.99901665247</v>
      </c>
      <c r="L35" s="308">
        <f>L33*L34</f>
        <v>751297.96</v>
      </c>
      <c r="M35" s="308">
        <f>M33*M34</f>
        <v>986610.39</v>
      </c>
      <c r="N35" s="308">
        <f>N33*N34</f>
        <v>1254614.933</v>
      </c>
      <c r="O35" s="265">
        <f>SUM(C35:N35)</f>
        <v>14449612.592909383</v>
      </c>
    </row>
    <row r="37" spans="1:16" ht="19.5" thickBot="1">
      <c r="A37" s="1649" t="s">
        <v>2921</v>
      </c>
      <c r="B37" s="1649"/>
      <c r="C37" s="1649"/>
      <c r="D37" s="1649"/>
      <c r="E37" s="1649"/>
      <c r="F37" s="1649"/>
      <c r="G37" s="1649"/>
      <c r="H37" s="1649"/>
      <c r="I37" s="1649"/>
      <c r="J37" s="1649"/>
      <c r="K37" s="1649"/>
      <c r="L37" s="1649"/>
      <c r="M37" s="1649"/>
      <c r="N37" s="1649"/>
      <c r="O37" s="1649"/>
    </row>
    <row r="38" spans="1:16" ht="15.75" thickBot="1">
      <c r="A38" s="244"/>
      <c r="B38" s="245" t="s">
        <v>2890</v>
      </c>
      <c r="C38" s="246" t="s">
        <v>1471</v>
      </c>
      <c r="D38" s="247" t="s">
        <v>1472</v>
      </c>
      <c r="E38" s="247" t="s">
        <v>1473</v>
      </c>
      <c r="F38" s="247" t="s">
        <v>1474</v>
      </c>
      <c r="G38" s="247" t="s">
        <v>1475</v>
      </c>
      <c r="H38" s="247" t="s">
        <v>1476</v>
      </c>
      <c r="I38" s="247" t="s">
        <v>1477</v>
      </c>
      <c r="J38" s="247" t="s">
        <v>1478</v>
      </c>
      <c r="K38" s="247" t="s">
        <v>1479</v>
      </c>
      <c r="L38" s="247" t="s">
        <v>1480</v>
      </c>
      <c r="M38" s="247" t="s">
        <v>1481</v>
      </c>
      <c r="N38" s="248" t="s">
        <v>4522</v>
      </c>
      <c r="O38" s="245" t="s">
        <v>2891</v>
      </c>
    </row>
    <row r="39" spans="1:16">
      <c r="A39" s="249" t="s">
        <v>2910</v>
      </c>
      <c r="B39" s="261" t="s">
        <v>2893</v>
      </c>
      <c r="C39" s="262">
        <v>1154971</v>
      </c>
      <c r="D39" s="263">
        <v>619481</v>
      </c>
      <c r="E39" s="263">
        <v>931023</v>
      </c>
      <c r="F39" s="263">
        <v>485718</v>
      </c>
      <c r="G39" s="263">
        <v>464160</v>
      </c>
      <c r="H39" s="263">
        <v>609274</v>
      </c>
      <c r="I39" s="263">
        <v>330326</v>
      </c>
      <c r="J39" s="263">
        <v>306606</v>
      </c>
      <c r="K39" s="263">
        <v>655864</v>
      </c>
      <c r="L39" s="263">
        <v>407529</v>
      </c>
      <c r="M39" s="263">
        <v>577355</v>
      </c>
      <c r="N39" s="264">
        <v>934116</v>
      </c>
      <c r="O39" s="265">
        <f>SUM(C39:N39)</f>
        <v>7476423</v>
      </c>
      <c r="P39" s="276">
        <f>O39+'п.п. 11 Б-7'!P29</f>
        <v>7948143</v>
      </c>
    </row>
    <row r="40" spans="1:16">
      <c r="A40" s="252" t="s">
        <v>2920</v>
      </c>
      <c r="B40" s="266" t="s">
        <v>2898</v>
      </c>
      <c r="C40" s="267">
        <v>2.024</v>
      </c>
      <c r="D40" s="268">
        <v>1.81</v>
      </c>
      <c r="E40" s="268">
        <v>1.8160000000000001</v>
      </c>
      <c r="F40" s="268">
        <v>1.7490000000000001</v>
      </c>
      <c r="G40" s="268">
        <v>1.861</v>
      </c>
      <c r="H40" s="268">
        <v>1.6359999999999999</v>
      </c>
      <c r="I40" s="268">
        <v>1.3280000000000001</v>
      </c>
      <c r="J40" s="268">
        <v>2.1080000000000001</v>
      </c>
      <c r="K40" s="268">
        <v>1.895</v>
      </c>
      <c r="L40" s="268">
        <v>1.339</v>
      </c>
      <c r="M40" s="268">
        <v>1.577</v>
      </c>
      <c r="N40" s="269">
        <v>1.835</v>
      </c>
      <c r="O40" s="265">
        <f>O41/O39</f>
        <v>1.7866683265513466</v>
      </c>
    </row>
    <row r="41" spans="1:16" ht="15.75" thickBot="1">
      <c r="A41" s="256" t="s">
        <v>2902</v>
      </c>
      <c r="B41" s="257" t="s">
        <v>2903</v>
      </c>
      <c r="C41" s="308">
        <f t="shared" ref="C41:N41" si="4">C39*C40</f>
        <v>2337661.304</v>
      </c>
      <c r="D41" s="308">
        <f t="shared" si="4"/>
        <v>1121260.6100000001</v>
      </c>
      <c r="E41" s="308">
        <f t="shared" si="4"/>
        <v>1690737.7680000002</v>
      </c>
      <c r="F41" s="308">
        <f t="shared" si="4"/>
        <v>849520.78200000001</v>
      </c>
      <c r="G41" s="308">
        <f t="shared" si="4"/>
        <v>863801.76</v>
      </c>
      <c r="H41" s="308">
        <f t="shared" si="4"/>
        <v>996772.26399999997</v>
      </c>
      <c r="I41" s="308">
        <f t="shared" si="4"/>
        <v>438672.92800000001</v>
      </c>
      <c r="J41" s="308">
        <f t="shared" si="4"/>
        <v>646325.44799999997</v>
      </c>
      <c r="K41" s="308">
        <f t="shared" si="4"/>
        <v>1242862.28</v>
      </c>
      <c r="L41" s="308">
        <f t="shared" si="4"/>
        <v>545681.33100000001</v>
      </c>
      <c r="M41" s="308">
        <f t="shared" si="4"/>
        <v>910488.83499999996</v>
      </c>
      <c r="N41" s="308">
        <f t="shared" si="4"/>
        <v>1714102.8599999999</v>
      </c>
      <c r="O41" s="265">
        <f>SUM(C41:N41)</f>
        <v>13357888.169999998</v>
      </c>
    </row>
    <row r="43" spans="1:16" ht="19.5" thickBot="1">
      <c r="A43" s="1649" t="s">
        <v>2922</v>
      </c>
      <c r="B43" s="1649"/>
      <c r="C43" s="1649"/>
      <c r="D43" s="1649"/>
      <c r="E43" s="1649"/>
      <c r="F43" s="1649"/>
      <c r="G43" s="1649"/>
      <c r="H43" s="1649"/>
      <c r="I43" s="1649"/>
      <c r="J43" s="1649"/>
      <c r="K43" s="1649"/>
      <c r="L43" s="1649"/>
      <c r="M43" s="1649"/>
      <c r="N43" s="1649"/>
      <c r="O43" s="1649"/>
    </row>
    <row r="44" spans="1:16" ht="15.75" thickBot="1">
      <c r="A44" s="244"/>
      <c r="B44" s="245" t="s">
        <v>2890</v>
      </c>
      <c r="C44" s="246" t="s">
        <v>1471</v>
      </c>
      <c r="D44" s="247" t="s">
        <v>1472</v>
      </c>
      <c r="E44" s="247" t="s">
        <v>1473</v>
      </c>
      <c r="F44" s="247" t="s">
        <v>1474</v>
      </c>
      <c r="G44" s="247" t="s">
        <v>1475</v>
      </c>
      <c r="H44" s="247" t="s">
        <v>1476</v>
      </c>
      <c r="I44" s="247" t="s">
        <v>1477</v>
      </c>
      <c r="J44" s="247" t="s">
        <v>1478</v>
      </c>
      <c r="K44" s="247" t="s">
        <v>1479</v>
      </c>
      <c r="L44" s="247" t="s">
        <v>1480</v>
      </c>
      <c r="M44" s="247" t="s">
        <v>1481</v>
      </c>
      <c r="N44" s="248" t="s">
        <v>4522</v>
      </c>
      <c r="O44" s="245" t="s">
        <v>2891</v>
      </c>
    </row>
    <row r="45" spans="1:16">
      <c r="A45" s="249" t="s">
        <v>2910</v>
      </c>
      <c r="B45" s="261" t="s">
        <v>2893</v>
      </c>
      <c r="C45" s="262">
        <v>932569</v>
      </c>
      <c r="D45" s="263">
        <v>782719</v>
      </c>
      <c r="E45" s="263">
        <v>1323344</v>
      </c>
      <c r="F45" s="263">
        <v>16258</v>
      </c>
      <c r="G45" s="263">
        <v>306151</v>
      </c>
      <c r="H45" s="309">
        <v>435471</v>
      </c>
      <c r="I45" s="263">
        <v>514250</v>
      </c>
      <c r="J45" s="263">
        <v>535687</v>
      </c>
      <c r="K45" s="263">
        <v>615545</v>
      </c>
      <c r="L45" s="263">
        <v>627963</v>
      </c>
      <c r="M45" s="263">
        <v>988479</v>
      </c>
      <c r="N45" s="264">
        <v>636323</v>
      </c>
      <c r="O45" s="265">
        <f>SUM(C45:N45)</f>
        <v>7714759</v>
      </c>
      <c r="P45" s="242">
        <f>'п.п. 11 Б-7'!P35+O45</f>
        <v>8174784</v>
      </c>
    </row>
    <row r="46" spans="1:16">
      <c r="A46" s="252" t="s">
        <v>2920</v>
      </c>
      <c r="B46" s="266" t="s">
        <v>2898</v>
      </c>
      <c r="C46" s="310">
        <v>1.5940000000000001</v>
      </c>
      <c r="D46" s="311">
        <v>1.88988</v>
      </c>
      <c r="E46" s="311">
        <v>2.3157199999999998</v>
      </c>
      <c r="F46" s="311">
        <v>2.34</v>
      </c>
      <c r="G46" s="311">
        <v>1.99</v>
      </c>
      <c r="H46" s="311">
        <v>2.42</v>
      </c>
      <c r="I46" s="311">
        <v>2.2414499999999999</v>
      </c>
      <c r="J46" s="311">
        <v>3.53775</v>
      </c>
      <c r="K46" s="311">
        <v>2.8729</v>
      </c>
      <c r="L46" s="311">
        <v>2.5045199999999999</v>
      </c>
      <c r="M46" s="311">
        <v>2.4918300000000002</v>
      </c>
      <c r="N46" s="312">
        <v>1.83249</v>
      </c>
      <c r="O46" s="313">
        <f>O47/O45</f>
        <v>2.3007190241782021</v>
      </c>
    </row>
    <row r="47" spans="1:16" ht="15.75" thickBot="1">
      <c r="A47" s="256" t="s">
        <v>2902</v>
      </c>
      <c r="B47" s="257" t="s">
        <v>2903</v>
      </c>
      <c r="C47" s="308">
        <f t="shared" ref="C47:N47" si="5">C45*C46</f>
        <v>1486514.986</v>
      </c>
      <c r="D47" s="308">
        <f t="shared" si="5"/>
        <v>1479244.9837199999</v>
      </c>
      <c r="E47" s="308">
        <f t="shared" si="5"/>
        <v>3064494.1676799995</v>
      </c>
      <c r="F47" s="308">
        <f t="shared" si="5"/>
        <v>38043.72</v>
      </c>
      <c r="G47" s="308">
        <f t="shared" si="5"/>
        <v>609240.49</v>
      </c>
      <c r="H47" s="308">
        <f t="shared" si="5"/>
        <v>1053839.82</v>
      </c>
      <c r="I47" s="308">
        <f t="shared" si="5"/>
        <v>1152665.6624999999</v>
      </c>
      <c r="J47" s="308">
        <f t="shared" si="5"/>
        <v>1895126.6842499999</v>
      </c>
      <c r="K47" s="308">
        <f t="shared" si="5"/>
        <v>1768399.2305000001</v>
      </c>
      <c r="L47" s="308">
        <f t="shared" si="5"/>
        <v>1572745.89276</v>
      </c>
      <c r="M47" s="308">
        <f t="shared" si="5"/>
        <v>2463121.6265700003</v>
      </c>
      <c r="N47" s="308">
        <f t="shared" si="5"/>
        <v>1166055.5342699999</v>
      </c>
      <c r="O47" s="314">
        <f>SUM(C47:N47)</f>
        <v>17749492.798250001</v>
      </c>
    </row>
    <row r="48" spans="1:16">
      <c r="H48" s="315"/>
    </row>
    <row r="49" spans="1:16" ht="19.5" thickBot="1">
      <c r="A49" s="1649" t="s">
        <v>2923</v>
      </c>
      <c r="B49" s="1649"/>
      <c r="C49" s="1649"/>
      <c r="D49" s="1649"/>
      <c r="E49" s="1649"/>
      <c r="F49" s="1649"/>
      <c r="G49" s="1649"/>
      <c r="H49" s="1649"/>
      <c r="I49" s="1649"/>
      <c r="J49" s="1649"/>
      <c r="K49" s="1649"/>
      <c r="L49" s="1649"/>
      <c r="M49" s="1649"/>
      <c r="N49" s="1649"/>
      <c r="O49" s="1649"/>
    </row>
    <row r="50" spans="1:16" ht="15.75" thickBot="1">
      <c r="A50" s="244"/>
      <c r="B50" s="245" t="s">
        <v>2890</v>
      </c>
      <c r="C50" s="246" t="s">
        <v>1471</v>
      </c>
      <c r="D50" s="247" t="s">
        <v>1472</v>
      </c>
      <c r="E50" s="247" t="s">
        <v>1473</v>
      </c>
      <c r="F50" s="247" t="s">
        <v>1474</v>
      </c>
      <c r="G50" s="247" t="s">
        <v>1475</v>
      </c>
      <c r="H50" s="247" t="s">
        <v>1476</v>
      </c>
      <c r="I50" s="247" t="s">
        <v>1477</v>
      </c>
      <c r="J50" s="247" t="s">
        <v>1478</v>
      </c>
      <c r="K50" s="247" t="s">
        <v>1479</v>
      </c>
      <c r="L50" s="247" t="s">
        <v>1480</v>
      </c>
      <c r="M50" s="247" t="s">
        <v>1481</v>
      </c>
      <c r="N50" s="248" t="s">
        <v>4522</v>
      </c>
      <c r="O50" s="245" t="s">
        <v>2891</v>
      </c>
    </row>
    <row r="51" spans="1:16">
      <c r="A51" s="249" t="s">
        <v>2910</v>
      </c>
      <c r="B51" s="261" t="s">
        <v>2893</v>
      </c>
      <c r="C51" s="262">
        <v>890276</v>
      </c>
      <c r="D51" s="263">
        <v>622690</v>
      </c>
      <c r="E51" s="263">
        <v>762003</v>
      </c>
      <c r="F51" s="263">
        <v>340408</v>
      </c>
      <c r="G51" s="263">
        <v>761759</v>
      </c>
      <c r="H51" s="309">
        <v>145447</v>
      </c>
      <c r="I51" s="263">
        <v>361988</v>
      </c>
      <c r="J51" s="263">
        <v>444823</v>
      </c>
      <c r="K51" s="263">
        <v>40505</v>
      </c>
      <c r="L51" s="263">
        <v>600996</v>
      </c>
      <c r="M51" s="263">
        <v>907089</v>
      </c>
      <c r="N51" s="264">
        <v>19201</v>
      </c>
      <c r="O51" s="265">
        <f>SUM(C51:N51)</f>
        <v>5897185</v>
      </c>
      <c r="P51" s="242">
        <f>O51+'п.п. 11 Б-7'!P41</f>
        <v>6344471</v>
      </c>
    </row>
    <row r="52" spans="1:16">
      <c r="A52" s="252" t="s">
        <v>2920</v>
      </c>
      <c r="B52" s="266" t="s">
        <v>2898</v>
      </c>
      <c r="C52" s="267">
        <v>2.5718800000000002</v>
      </c>
      <c r="D52" s="268">
        <v>1.67363</v>
      </c>
      <c r="E52" s="268">
        <v>2.0790000000000002</v>
      </c>
      <c r="F52" s="268">
        <v>2.19529</v>
      </c>
      <c r="G52" s="268">
        <v>2.2482799999999998</v>
      </c>
      <c r="H52" s="268">
        <v>2.18546</v>
      </c>
      <c r="I52" s="268">
        <v>2.1568800000000001</v>
      </c>
      <c r="J52" s="268">
        <v>2.2276699999999998</v>
      </c>
      <c r="K52" s="268">
        <v>2.1204999999999998</v>
      </c>
      <c r="L52" s="268">
        <v>2.04941</v>
      </c>
      <c r="M52" s="268">
        <v>2.9139499999999998</v>
      </c>
      <c r="N52" s="269">
        <v>2.2542499999999999</v>
      </c>
      <c r="O52" s="265">
        <f>O53/O51</f>
        <v>2.2840741446215445</v>
      </c>
    </row>
    <row r="53" spans="1:16" ht="15.75" thickBot="1">
      <c r="A53" s="256" t="s">
        <v>2902</v>
      </c>
      <c r="B53" s="257" t="s">
        <v>2903</v>
      </c>
      <c r="C53" s="308">
        <f t="shared" ref="C53:N53" si="6">C51*C52</f>
        <v>2289683.0388800004</v>
      </c>
      <c r="D53" s="308">
        <f t="shared" si="6"/>
        <v>1042152.6647</v>
      </c>
      <c r="E53" s="308">
        <f t="shared" si="6"/>
        <v>1584204.2370000002</v>
      </c>
      <c r="F53" s="308">
        <f t="shared" si="6"/>
        <v>747294.27832000004</v>
      </c>
      <c r="G53" s="308">
        <f t="shared" si="6"/>
        <v>1712647.52452</v>
      </c>
      <c r="H53" s="308">
        <f t="shared" si="6"/>
        <v>317868.60061999998</v>
      </c>
      <c r="I53" s="308">
        <f t="shared" si="6"/>
        <v>780764.67744</v>
      </c>
      <c r="J53" s="308">
        <f t="shared" si="6"/>
        <v>990918.85240999993</v>
      </c>
      <c r="K53" s="308">
        <f t="shared" si="6"/>
        <v>85890.852499999994</v>
      </c>
      <c r="L53" s="308">
        <f t="shared" si="6"/>
        <v>1231687.21236</v>
      </c>
      <c r="M53" s="308">
        <f t="shared" si="6"/>
        <v>2643211.9915499999</v>
      </c>
      <c r="N53" s="308">
        <f t="shared" si="6"/>
        <v>43283.854249999997</v>
      </c>
      <c r="O53" s="314">
        <f>SUM(C53:N53)</f>
        <v>13469607.784550002</v>
      </c>
    </row>
    <row r="55" spans="1:16" ht="19.5" thickBot="1">
      <c r="A55" s="1649" t="s">
        <v>2924</v>
      </c>
      <c r="B55" s="1649"/>
      <c r="C55" s="1649"/>
      <c r="D55" s="1649"/>
      <c r="E55" s="1649"/>
      <c r="F55" s="1649"/>
      <c r="G55" s="1649"/>
      <c r="H55" s="1649"/>
      <c r="I55" s="1649"/>
      <c r="J55" s="1649"/>
      <c r="K55" s="1649"/>
      <c r="L55" s="1649"/>
      <c r="M55" s="1649"/>
      <c r="N55" s="1649"/>
      <c r="O55" s="1649"/>
    </row>
    <row r="56" spans="1:16" ht="15.75" thickBot="1">
      <c r="A56" s="244"/>
      <c r="B56" s="245" t="s">
        <v>2890</v>
      </c>
      <c r="C56" s="246" t="s">
        <v>1471</v>
      </c>
      <c r="D56" s="247" t="s">
        <v>1472</v>
      </c>
      <c r="E56" s="247" t="s">
        <v>1473</v>
      </c>
      <c r="F56" s="247" t="s">
        <v>1474</v>
      </c>
      <c r="G56" s="247" t="s">
        <v>1475</v>
      </c>
      <c r="H56" s="247" t="s">
        <v>1476</v>
      </c>
      <c r="I56" s="247" t="s">
        <v>1477</v>
      </c>
      <c r="J56" s="247" t="s">
        <v>1478</v>
      </c>
      <c r="K56" s="247" t="s">
        <v>1479</v>
      </c>
      <c r="L56" s="247" t="s">
        <v>1480</v>
      </c>
      <c r="M56" s="247" t="s">
        <v>1481</v>
      </c>
      <c r="N56" s="248" t="s">
        <v>4522</v>
      </c>
      <c r="O56" s="245" t="s">
        <v>2891</v>
      </c>
    </row>
    <row r="57" spans="1:16">
      <c r="A57" s="249" t="s">
        <v>2910</v>
      </c>
      <c r="B57" s="261" t="s">
        <v>2893</v>
      </c>
      <c r="C57" s="280">
        <v>480850</v>
      </c>
      <c r="D57" s="281">
        <v>483112</v>
      </c>
      <c r="E57" s="281">
        <v>504322</v>
      </c>
      <c r="F57" s="281">
        <v>368132</v>
      </c>
      <c r="G57" s="281">
        <v>968572</v>
      </c>
      <c r="H57" s="316">
        <v>550115</v>
      </c>
      <c r="I57" s="281">
        <v>97069</v>
      </c>
      <c r="J57" s="281">
        <v>221803</v>
      </c>
      <c r="K57" s="281">
        <v>311402</v>
      </c>
      <c r="L57" s="281">
        <v>1043795</v>
      </c>
      <c r="M57" s="281">
        <v>814476</v>
      </c>
      <c r="N57" s="281">
        <v>654320</v>
      </c>
      <c r="O57" s="285">
        <f>SUM(C57:N57)</f>
        <v>6497968</v>
      </c>
      <c r="P57" s="242">
        <f>O57+'п.п. 11 Б-7'!P47</f>
        <v>6947265</v>
      </c>
    </row>
    <row r="58" spans="1:16">
      <c r="A58" s="252" t="s">
        <v>2920</v>
      </c>
      <c r="B58" s="266" t="s">
        <v>2898</v>
      </c>
      <c r="C58" s="267">
        <v>2.2957000000000001</v>
      </c>
      <c r="D58" s="268">
        <v>2.39758</v>
      </c>
      <c r="E58" s="268">
        <v>2.3424700000000001</v>
      </c>
      <c r="F58" s="268">
        <v>2.4599000000000002</v>
      </c>
      <c r="G58" s="268">
        <v>2.3437600000000001</v>
      </c>
      <c r="H58" s="268">
        <v>2.24804</v>
      </c>
      <c r="I58" s="268">
        <v>2.3335699999999999</v>
      </c>
      <c r="J58" s="268">
        <v>2.3946000000000001</v>
      </c>
      <c r="K58" s="268">
        <v>2.1042299999999998</v>
      </c>
      <c r="L58" s="268">
        <f>2.39033</f>
        <v>2.3903300000000001</v>
      </c>
      <c r="M58" s="268">
        <v>2.7052399999999999</v>
      </c>
      <c r="N58" s="269">
        <v>2.18357</v>
      </c>
      <c r="O58" s="265">
        <f>O59/O57</f>
        <v>2.3693444152079541</v>
      </c>
    </row>
    <row r="59" spans="1:16" ht="15.75" thickBot="1">
      <c r="A59" s="256" t="s">
        <v>2902</v>
      </c>
      <c r="B59" s="257" t="s">
        <v>2903</v>
      </c>
      <c r="C59" s="308">
        <f t="shared" ref="C59:N59" si="7">C57*C58</f>
        <v>1103887.345</v>
      </c>
      <c r="D59" s="308">
        <f t="shared" si="7"/>
        <v>1158299.6689599999</v>
      </c>
      <c r="E59" s="308">
        <f t="shared" si="7"/>
        <v>1181359.1553400001</v>
      </c>
      <c r="F59" s="308">
        <f t="shared" si="7"/>
        <v>905567.90680000011</v>
      </c>
      <c r="G59" s="308">
        <f t="shared" si="7"/>
        <v>2270100.31072</v>
      </c>
      <c r="H59" s="308">
        <f t="shared" si="7"/>
        <v>1236680.5246000001</v>
      </c>
      <c r="I59" s="308">
        <f t="shared" si="7"/>
        <v>226517.30632999999</v>
      </c>
      <c r="J59" s="308">
        <f t="shared" si="7"/>
        <v>531129.46380000003</v>
      </c>
      <c r="K59" s="308">
        <f t="shared" si="7"/>
        <v>655261.43045999995</v>
      </c>
      <c r="L59" s="308">
        <f t="shared" si="7"/>
        <v>2495014.5023500002</v>
      </c>
      <c r="M59" s="308">
        <f t="shared" si="7"/>
        <v>2203353.05424</v>
      </c>
      <c r="N59" s="308">
        <f t="shared" si="7"/>
        <v>1428753.5223999999</v>
      </c>
      <c r="O59" s="314">
        <f>SUM(C59:N59)</f>
        <v>15395924.191</v>
      </c>
      <c r="P59" s="242">
        <f>O59+'п.п. 11 Б-7'!P48</f>
        <v>16523116.810079999</v>
      </c>
    </row>
    <row r="60" spans="1:16" ht="15.75" thickBot="1">
      <c r="A60" s="256" t="s">
        <v>2925</v>
      </c>
      <c r="B60" s="257" t="s">
        <v>2903</v>
      </c>
      <c r="C60" s="308"/>
      <c r="D60" s="308"/>
      <c r="E60" s="308"/>
      <c r="F60" s="308"/>
      <c r="G60" s="308"/>
      <c r="H60" s="308"/>
      <c r="I60" s="308"/>
      <c r="J60" s="308"/>
      <c r="K60" s="308"/>
      <c r="L60" s="308"/>
      <c r="M60" s="308"/>
      <c r="N60" s="308"/>
      <c r="O60" s="314"/>
    </row>
  </sheetData>
  <mergeCells count="7">
    <mergeCell ref="A55:O55"/>
    <mergeCell ref="A3:O3"/>
    <mergeCell ref="A13:O13"/>
    <mergeCell ref="A31:O31"/>
    <mergeCell ref="A37:O37"/>
    <mergeCell ref="A43:O43"/>
    <mergeCell ref="A49:O49"/>
  </mergeCells>
  <phoneticPr fontId="0" type="noConversion"/>
  <hyperlinks>
    <hyperlink ref="A1" location="Главная!A1" display="Переход на главную страницу"/>
  </hyperlinks>
  <pageMargins left="0.7" right="0.7" top="0.75" bottom="0.75" header="0.3" footer="0.3"/>
  <pageSetup paperSize="9" scale="47" fitToHeight="0" orientation="landscape"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M41"/>
  <sheetViews>
    <sheetView showGridLines="0" view="pageBreakPreview" topLeftCell="A11" zoomScale="85" zoomScaleNormal="90" workbookViewId="0">
      <selection activeCell="A42" sqref="A42"/>
    </sheetView>
  </sheetViews>
  <sheetFormatPr defaultRowHeight="15"/>
  <cols>
    <col min="1" max="1" width="41.7109375" customWidth="1"/>
  </cols>
  <sheetData>
    <row r="1" spans="1:13" ht="15.75">
      <c r="A1" s="79" t="s">
        <v>724</v>
      </c>
      <c r="M1" t="s">
        <v>2926</v>
      </c>
    </row>
    <row r="4" spans="1:13">
      <c r="A4" s="317" t="s">
        <v>2927</v>
      </c>
    </row>
    <row r="5" spans="1:13">
      <c r="A5" t="s">
        <v>2928</v>
      </c>
    </row>
    <row r="6" spans="1:13">
      <c r="A6" t="s">
        <v>2929</v>
      </c>
    </row>
    <row r="8" spans="1:13">
      <c r="A8" s="317" t="s">
        <v>2930</v>
      </c>
    </row>
    <row r="9" spans="1:13">
      <c r="A9" t="s">
        <v>2931</v>
      </c>
    </row>
    <row r="10" spans="1:13">
      <c r="A10" t="s">
        <v>2932</v>
      </c>
    </row>
    <row r="12" spans="1:13">
      <c r="A12" s="317" t="s">
        <v>2933</v>
      </c>
    </row>
    <row r="13" spans="1:13">
      <c r="A13" t="s">
        <v>2931</v>
      </c>
    </row>
    <row r="14" spans="1:13">
      <c r="A14" t="s">
        <v>4152</v>
      </c>
    </row>
    <row r="16" spans="1:13">
      <c r="A16" s="317" t="s">
        <v>4153</v>
      </c>
    </row>
    <row r="17" spans="1:13">
      <c r="A17" s="318" t="s">
        <v>4154</v>
      </c>
    </row>
    <row r="18" spans="1:13">
      <c r="A18" t="s">
        <v>4155</v>
      </c>
    </row>
    <row r="20" spans="1:13">
      <c r="A20" s="317" t="s">
        <v>4156</v>
      </c>
    </row>
    <row r="21" spans="1:13">
      <c r="A21" s="318" t="s">
        <v>4154</v>
      </c>
    </row>
    <row r="22" spans="1:13">
      <c r="A22" t="s">
        <v>4157</v>
      </c>
    </row>
    <row r="24" spans="1:13">
      <c r="A24" s="317" t="s">
        <v>4158</v>
      </c>
    </row>
    <row r="25" spans="1:13">
      <c r="A25" s="318" t="s">
        <v>4159</v>
      </c>
    </row>
    <row r="26" spans="1:13">
      <c r="A26" t="s">
        <v>4160</v>
      </c>
    </row>
    <row r="28" spans="1:13" ht="30" customHeight="1">
      <c r="A28" s="1650" t="s">
        <v>3539</v>
      </c>
      <c r="B28" s="1650"/>
      <c r="C28" s="1650"/>
      <c r="D28" s="1650"/>
      <c r="E28" s="1650"/>
      <c r="F28" s="1650"/>
      <c r="G28" s="1650"/>
      <c r="H28" s="1650"/>
      <c r="I28" s="1650"/>
      <c r="J28" s="1650"/>
      <c r="K28" s="1650"/>
      <c r="L28" s="1650"/>
      <c r="M28" s="1650"/>
    </row>
    <row r="29" spans="1:13">
      <c r="A29" s="317"/>
    </row>
    <row r="30" spans="1:13">
      <c r="A30" s="318" t="s">
        <v>3540</v>
      </c>
    </row>
    <row r="31" spans="1:13">
      <c r="A31" t="s">
        <v>3541</v>
      </c>
    </row>
    <row r="33" spans="1:13" ht="30.75" customHeight="1">
      <c r="A33" s="1650" t="s">
        <v>5066</v>
      </c>
      <c r="B33" s="1650"/>
      <c r="C33" s="1650"/>
      <c r="D33" s="1650"/>
      <c r="E33" s="1650"/>
      <c r="F33" s="1650"/>
      <c r="G33" s="1650"/>
      <c r="H33" s="1650"/>
      <c r="I33" s="1650"/>
      <c r="J33" s="1650"/>
      <c r="K33" s="1650"/>
      <c r="L33" s="1650"/>
      <c r="M33" s="1650"/>
    </row>
    <row r="34" spans="1:13">
      <c r="A34" s="317"/>
      <c r="B34" s="1485"/>
      <c r="C34" s="1485"/>
      <c r="D34" s="1485"/>
      <c r="E34" s="1485"/>
      <c r="F34" s="1485"/>
      <c r="G34" s="1485"/>
      <c r="H34" s="1485"/>
      <c r="I34" s="1485"/>
      <c r="J34" s="1485"/>
      <c r="K34" s="1485"/>
      <c r="L34" s="1485"/>
      <c r="M34" s="1485"/>
    </row>
    <row r="35" spans="1:13">
      <c r="A35" s="318" t="s">
        <v>5067</v>
      </c>
      <c r="B35" s="1485"/>
      <c r="C35" s="1485"/>
      <c r="D35" s="1485"/>
      <c r="E35" s="1485"/>
      <c r="F35" s="1485"/>
      <c r="G35" s="1485"/>
      <c r="H35" s="1485"/>
      <c r="I35" s="1485"/>
      <c r="J35" s="1485"/>
      <c r="K35" s="1485"/>
      <c r="L35" s="1485"/>
      <c r="M35" s="1485"/>
    </row>
    <row r="36" spans="1:13">
      <c r="A36" s="1485" t="s">
        <v>5063</v>
      </c>
      <c r="B36" s="1485"/>
      <c r="C36" s="1485"/>
      <c r="D36" s="1485"/>
      <c r="E36" s="1485"/>
      <c r="F36" s="1485"/>
      <c r="G36" s="1485"/>
      <c r="H36" s="1485"/>
      <c r="I36" s="1485"/>
      <c r="J36" s="1485"/>
      <c r="K36" s="1485"/>
      <c r="L36" s="1485"/>
      <c r="M36" s="1485"/>
    </row>
    <row r="38" spans="1:13" ht="28.5" customHeight="1">
      <c r="A38" s="1650" t="s">
        <v>5065</v>
      </c>
      <c r="B38" s="1650"/>
      <c r="C38" s="1650"/>
      <c r="D38" s="1650"/>
      <c r="E38" s="1650"/>
      <c r="F38" s="1650"/>
      <c r="G38" s="1650"/>
      <c r="H38" s="1650"/>
      <c r="I38" s="1650"/>
      <c r="J38" s="1650"/>
      <c r="K38" s="1650"/>
      <c r="L38" s="1650"/>
      <c r="M38" s="1650"/>
    </row>
    <row r="39" spans="1:13">
      <c r="A39" s="317"/>
      <c r="B39" s="1485"/>
      <c r="C39" s="1485"/>
      <c r="D39" s="1485"/>
      <c r="E39" s="1485"/>
      <c r="F39" s="1485"/>
      <c r="G39" s="1485"/>
      <c r="H39" s="1485"/>
      <c r="I39" s="1485"/>
      <c r="J39" s="1485"/>
      <c r="K39" s="1485"/>
      <c r="L39" s="1485"/>
      <c r="M39" s="1485"/>
    </row>
    <row r="40" spans="1:13">
      <c r="A40" s="318" t="s">
        <v>5068</v>
      </c>
      <c r="B40" s="1485"/>
      <c r="C40" s="1485"/>
      <c r="D40" s="1485"/>
      <c r="E40" s="1485"/>
      <c r="F40" s="1485"/>
      <c r="G40" s="1485"/>
      <c r="H40" s="1485"/>
      <c r="I40" s="1485"/>
      <c r="J40" s="1485"/>
      <c r="K40" s="1485"/>
      <c r="L40" s="1485"/>
      <c r="M40" s="1485"/>
    </row>
    <row r="41" spans="1:13">
      <c r="A41" s="1485" t="s">
        <v>5064</v>
      </c>
      <c r="B41" s="1485"/>
      <c r="C41" s="1485"/>
      <c r="D41" s="1485"/>
      <c r="E41" s="1485"/>
      <c r="F41" s="1485"/>
      <c r="G41" s="1485"/>
      <c r="H41" s="1485"/>
      <c r="I41" s="1485"/>
      <c r="J41" s="1485"/>
      <c r="K41" s="1485"/>
      <c r="L41" s="1485"/>
      <c r="M41" s="1485"/>
    </row>
  </sheetData>
  <mergeCells count="3">
    <mergeCell ref="A28:M28"/>
    <mergeCell ref="A33:M33"/>
    <mergeCell ref="A38:M38"/>
  </mergeCells>
  <phoneticPr fontId="0" type="noConversion"/>
  <hyperlinks>
    <hyperlink ref="A1" location="Главная!A1" display="Переход на главную страницу"/>
  </hyperlink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dimension ref="A1:B17"/>
  <sheetViews>
    <sheetView workbookViewId="0">
      <selection activeCell="H69" sqref="H69"/>
    </sheetView>
  </sheetViews>
  <sheetFormatPr defaultRowHeight="14.25"/>
  <cols>
    <col min="1" max="1" width="6.42578125" style="319" customWidth="1"/>
    <col min="2" max="2" width="84.140625" style="319" customWidth="1"/>
    <col min="3" max="16384" width="9.140625" style="319"/>
  </cols>
  <sheetData>
    <row r="1" spans="1:2" ht="15.75">
      <c r="B1" s="79" t="s">
        <v>724</v>
      </c>
    </row>
    <row r="2" spans="1:2" ht="15">
      <c r="A2" s="320"/>
      <c r="B2" s="321" t="s">
        <v>3542</v>
      </c>
    </row>
    <row r="3" spans="1:2" ht="15">
      <c r="A3" s="320"/>
      <c r="B3" s="320"/>
    </row>
    <row r="4" spans="1:2" ht="15" customHeight="1"/>
    <row r="5" spans="1:2" s="322" customFormat="1" ht="26.25" customHeight="1">
      <c r="A5" s="1651" t="s">
        <v>3543</v>
      </c>
      <c r="B5" s="1651"/>
    </row>
    <row r="6" spans="1:2" ht="15.75" thickBot="1">
      <c r="A6" s="320"/>
      <c r="B6" s="320"/>
    </row>
    <row r="7" spans="1:2" ht="15.75" thickBot="1">
      <c r="A7" s="323" t="s">
        <v>3544</v>
      </c>
      <c r="B7" s="324" t="s">
        <v>3545</v>
      </c>
    </row>
    <row r="8" spans="1:2" s="327" customFormat="1" ht="30.75" customHeight="1">
      <c r="A8" s="325">
        <v>1</v>
      </c>
      <c r="B8" s="326" t="s">
        <v>3546</v>
      </c>
    </row>
    <row r="9" spans="1:2" s="327" customFormat="1" ht="15" customHeight="1">
      <c r="A9" s="328">
        <v>2</v>
      </c>
      <c r="B9" s="329" t="s">
        <v>3547</v>
      </c>
    </row>
    <row r="10" spans="1:2" s="327" customFormat="1" ht="15" customHeight="1">
      <c r="A10" s="328">
        <v>3</v>
      </c>
      <c r="B10" s="329" t="s">
        <v>3548</v>
      </c>
    </row>
    <row r="11" spans="1:2" s="327" customFormat="1" ht="30" customHeight="1">
      <c r="A11" s="328">
        <v>4</v>
      </c>
      <c r="B11" s="330" t="s">
        <v>3549</v>
      </c>
    </row>
    <row r="12" spans="1:2" s="327" customFormat="1" ht="30" customHeight="1">
      <c r="A12" s="328">
        <v>5</v>
      </c>
      <c r="B12" s="330" t="s">
        <v>3550</v>
      </c>
    </row>
    <row r="13" spans="1:2" s="327" customFormat="1" ht="15" customHeight="1">
      <c r="A13" s="328">
        <v>6</v>
      </c>
      <c r="B13" s="330" t="s">
        <v>3551</v>
      </c>
    </row>
    <row r="14" spans="1:2" s="327" customFormat="1" ht="30" customHeight="1" thickBot="1">
      <c r="A14" s="331">
        <v>7</v>
      </c>
      <c r="B14" s="332" t="s">
        <v>3552</v>
      </c>
    </row>
    <row r="15" spans="1:2" ht="15">
      <c r="A15" s="320"/>
      <c r="B15" s="320"/>
    </row>
    <row r="16" spans="1:2">
      <c r="A16" s="333"/>
      <c r="B16" s="333" t="s">
        <v>3553</v>
      </c>
    </row>
    <row r="17" spans="1:2">
      <c r="A17" s="333" t="s">
        <v>3554</v>
      </c>
      <c r="B17" s="333"/>
    </row>
  </sheetData>
  <mergeCells count="1">
    <mergeCell ref="A5:B5"/>
  </mergeCells>
  <phoneticPr fontId="0" type="noConversion"/>
  <hyperlinks>
    <hyperlink ref="B1" location="Главная!A1" display="Переход на главную страницу"/>
  </hyperlinks>
  <pageMargins left="0.47244094488188981"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35</vt:i4>
      </vt:variant>
    </vt:vector>
  </HeadingPairs>
  <TitlesOfParts>
    <vt:vector size="77" baseType="lpstr">
      <vt:lpstr>Главная</vt:lpstr>
      <vt:lpstr>п.п. 11 а</vt:lpstr>
      <vt:lpstr>п.п. 11 а (2)</vt:lpstr>
      <vt:lpstr>п.п. 11 Б-1</vt:lpstr>
      <vt:lpstr>п.п. 11 Б-2</vt:lpstr>
      <vt:lpstr>п.п. 11 Б-3</vt:lpstr>
      <vt:lpstr>п.п. 11 Б-4</vt:lpstr>
      <vt:lpstr>п.п. 11 Б-5</vt:lpstr>
      <vt:lpstr>п.п. 11 Б-6</vt:lpstr>
      <vt:lpstr>п.п. 11 Б-7</vt:lpstr>
      <vt:lpstr>п.п.11 Б-9</vt:lpstr>
      <vt:lpstr>п.п. 11 Б 10-11</vt:lpstr>
      <vt:lpstr>п.п. 11 Б-12</vt:lpstr>
      <vt:lpstr>п.п. 11 Б-13</vt:lpstr>
      <vt:lpstr>п.п. 11 Б-14</vt:lpstr>
      <vt:lpstr>п.п. 11 В-1</vt:lpstr>
      <vt:lpstr>п.п. 11 В (1)</vt:lpstr>
      <vt:lpstr>п.п. 11 В-2 </vt:lpstr>
      <vt:lpstr>п.п. 11 В-3</vt:lpstr>
      <vt:lpstr>п.п. 11 В-4</vt:lpstr>
      <vt:lpstr>п.п. 11 Г</vt:lpstr>
      <vt:lpstr>п.п. 11 Е</vt:lpstr>
      <vt:lpstr>п.п. 11 Ж</vt:lpstr>
      <vt:lpstr>п.п. 11 Ж-1</vt:lpstr>
      <vt:lpstr>п.п. 11 З-2</vt:lpstr>
      <vt:lpstr>п.п. 11 и</vt:lpstr>
      <vt:lpstr>п.п. 11 к</vt:lpstr>
      <vt:lpstr>п.п. 11 л 1</vt:lpstr>
      <vt:lpstr>п.п. 11л 2</vt:lpstr>
      <vt:lpstr>п.п. 11 к 3</vt:lpstr>
      <vt:lpstr>п.п. 11 л 4</vt:lpstr>
      <vt:lpstr>п.п. 11 л 5</vt:lpstr>
      <vt:lpstr>п.п. 11 м</vt:lpstr>
      <vt:lpstr>п.п. 9 Б-1</vt:lpstr>
      <vt:lpstr>п. 9 В</vt:lpstr>
      <vt:lpstr>п. 9 В-1</vt:lpstr>
      <vt:lpstr>п. 9 Г (1,2)</vt:lpstr>
      <vt:lpstr>п. 9 Г (5)</vt:lpstr>
      <vt:lpstr>п. 9 Г стар</vt:lpstr>
      <vt:lpstr>Лист1</vt:lpstr>
      <vt:lpstr>Лист2</vt:lpstr>
      <vt:lpstr>Лист3</vt:lpstr>
      <vt:lpstr>'п.п. 11 к 3'!_Par142</vt:lpstr>
      <vt:lpstr>'п.п. 11 к 3'!_Par143</vt:lpstr>
      <vt:lpstr>'п.п. 11 Б 10-11'!_Par2473</vt:lpstr>
      <vt:lpstr>'п.п. 11 Б 10-11'!_Par2476</vt:lpstr>
      <vt:lpstr>'п.п. 11 л 4'!_Par2520</vt:lpstr>
      <vt:lpstr>'п.п. 11 к 3'!_Par744</vt:lpstr>
      <vt:lpstr>'п.п. 11 к 3'!_Par786</vt:lpstr>
      <vt:lpstr>'п.п. 11 к 3'!_Par798</vt:lpstr>
      <vt:lpstr>'п.п. 11 к 3'!_Par822</vt:lpstr>
      <vt:lpstr>вкладка_п.п._11_Б_7</vt:lpstr>
      <vt:lpstr>Главная!вкладка_п.п._11а</vt:lpstr>
      <vt:lpstr>'п.п. 11 а'!вкладка_п.п._11а</vt:lpstr>
      <vt:lpstr>Главная!Область_печати</vt:lpstr>
      <vt:lpstr>'п. 9 В-1'!Область_печати</vt:lpstr>
      <vt:lpstr>'п. 9 Г (1,2)'!Область_печати</vt:lpstr>
      <vt:lpstr>'п. 9 Г (5)'!Область_печати</vt:lpstr>
      <vt:lpstr>'п. 9 Г стар'!Область_печати</vt:lpstr>
      <vt:lpstr>'п.п. 11 Б 10-11'!Область_печати</vt:lpstr>
      <vt:lpstr>'п.п. 11 Б-1'!Область_печати</vt:lpstr>
      <vt:lpstr>'п.п. 11 Б-2'!Область_печати</vt:lpstr>
      <vt:lpstr>'п.п. 11 Б-3'!Область_печати</vt:lpstr>
      <vt:lpstr>'п.п. 11 Б-4'!Область_печати</vt:lpstr>
      <vt:lpstr>'п.п. 11 Б-5'!Область_печати</vt:lpstr>
      <vt:lpstr>'п.п. 11 Б-7'!Область_печати</vt:lpstr>
      <vt:lpstr>'п.п. 11 В (1)'!Область_печати</vt:lpstr>
      <vt:lpstr>'п.п. 11 В-2 '!Область_печати</vt:lpstr>
      <vt:lpstr>'п.п. 11 Е'!Область_печати</vt:lpstr>
      <vt:lpstr>'п.п. 11 и'!Область_печати</vt:lpstr>
      <vt:lpstr>'п.п. 11 к'!Область_печати</vt:lpstr>
      <vt:lpstr>'п.п. 11 к 3'!Область_печати</vt:lpstr>
      <vt:lpstr>'п.п. 11 л 1'!Область_печати</vt:lpstr>
      <vt:lpstr>'п.п. 11 л 4'!Область_печати</vt:lpstr>
      <vt:lpstr>'п.п. 11 л 5'!Область_печати</vt:lpstr>
      <vt:lpstr>'п.п. 11л 2'!Область_печати</vt:lpstr>
      <vt:lpstr>'п.п. 9 Б-1'!Область_печати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2017-11-28T05:36:32Z</cp:lastPrinted>
  <dcterms:created xsi:type="dcterms:W3CDTF">2006-09-28T05:33:49Z</dcterms:created>
  <dcterms:modified xsi:type="dcterms:W3CDTF">2018-04-03T08:05:58Z</dcterms:modified>
</cp:coreProperties>
</file>